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65" windowHeight="6510" tabRatio="599" firstSheet="1" activeTab="1"/>
  </bookViews>
  <sheets>
    <sheet name="Header" sheetId="1" r:id="rId1"/>
    <sheet name="Production table" sheetId="2" r:id="rId2"/>
    <sheet name="Production Schedule" sheetId="3" r:id="rId3"/>
    <sheet name="Tape lengths" sheetId="4" r:id="rId4"/>
    <sheet name="P0-Z" sheetId="5" r:id="rId5"/>
    <sheet name="coords" sheetId="6" r:id="rId6"/>
    <sheet name="Check" sheetId="7" r:id="rId7"/>
    <sheet name="Type II strip-back PPF1" sheetId="8" r:id="rId8"/>
    <sheet name="Type II strip-back Compact PPF1" sheetId="9" r:id="rId9"/>
  </sheets>
  <definedNames/>
  <calcPr fullCalcOnLoad="1"/>
</workbook>
</file>

<file path=xl/sharedStrings.xml><?xml version="1.0" encoding="utf-8"?>
<sst xmlns="http://schemas.openxmlformats.org/spreadsheetml/2006/main" count="984" uniqueCount="236">
  <si>
    <t>D1</t>
  </si>
  <si>
    <t>D2</t>
  </si>
  <si>
    <t>D3</t>
  </si>
  <si>
    <t>D4</t>
  </si>
  <si>
    <t>D5</t>
  </si>
  <si>
    <t>D6</t>
  </si>
  <si>
    <t>D7</t>
  </si>
  <si>
    <t>D8</t>
  </si>
  <si>
    <t>D9</t>
  </si>
  <si>
    <t>Z to disc centre</t>
  </si>
  <si>
    <t>low z PPF0 conn</t>
  </si>
  <si>
    <t>mid z PPF0 conn</t>
  </si>
  <si>
    <t>hi z PPF0 conn</t>
  </si>
  <si>
    <t>Comment</t>
  </si>
  <si>
    <t>"</t>
  </si>
  <si>
    <t>C1 (lo Z)</t>
  </si>
  <si>
    <t>C2 (mid Z)</t>
  </si>
  <si>
    <t>C3 (hi Z)</t>
  </si>
  <si>
    <t>rotated disc</t>
  </si>
  <si>
    <t>Length</t>
  </si>
  <si>
    <t>Tape # (bottom of stack up)</t>
  </si>
  <si>
    <t>CAD</t>
  </si>
  <si>
    <t>Mock-up</t>
  </si>
  <si>
    <t>Measured from</t>
  </si>
  <si>
    <t>Pos'n</t>
  </si>
  <si>
    <t>Measured length (mm)</t>
  </si>
  <si>
    <t>Total check (mm)</t>
  </si>
  <si>
    <t>Difference (mm)</t>
  </si>
  <si>
    <t>Total length (mm)</t>
  </si>
  <si>
    <t>B4 r (min 10) (mm)</t>
  </si>
  <si>
    <t>B4 R (mm)</t>
  </si>
  <si>
    <t>B4 Z (mm)</t>
  </si>
  <si>
    <t>8: Length to B4 (mm)</t>
  </si>
  <si>
    <t>7: length around B3 (90deg) (mm)</t>
  </si>
  <si>
    <t>B3 r (min 12.5) (mm)</t>
  </si>
  <si>
    <t>B3 R (mm)</t>
  </si>
  <si>
    <t>B3 Z (mm)</t>
  </si>
  <si>
    <t>6: length to next bend (mm)</t>
  </si>
  <si>
    <t>5: length up to STFT exit (mm)</t>
  </si>
  <si>
    <t>STFT exit R (mm)</t>
  </si>
  <si>
    <t>4: Tape length around B2 (90deg) (mm)</t>
  </si>
  <si>
    <t>B2 r (min 12.5) (mm)</t>
  </si>
  <si>
    <t>B2 R (mm)</t>
  </si>
  <si>
    <t>B2 Z (mm)</t>
  </si>
  <si>
    <t>2: Tape length around B1 (90deg) (mm)</t>
  </si>
  <si>
    <t>Tape thickness (mm)</t>
  </si>
  <si>
    <t>PCB Z (mm)</t>
  </si>
  <si>
    <t>PCB R (mm)</t>
  </si>
  <si>
    <t>1a: Length to solder pad + excess (mm)</t>
  </si>
  <si>
    <t>1: Tape length from PCB to bend (mm)</t>
  </si>
  <si>
    <t>11: Phi shift compensation (P0e1:3 ) (mm)</t>
  </si>
  <si>
    <t>FOR P0e1:3</t>
  </si>
  <si>
    <t>FOR P0e10:12</t>
  </si>
  <si>
    <t>FOR P0e7:9</t>
  </si>
  <si>
    <t>O10/011/013</t>
  </si>
  <si>
    <t>O10/O11/I10</t>
  </si>
  <si>
    <t>No. of tapes</t>
  </si>
  <si>
    <t>Module check</t>
  </si>
  <si>
    <t>Totals</t>
  </si>
  <si>
    <t>Length * No. off (mm)</t>
  </si>
  <si>
    <t>convert m x 4 quad x 2 EC</t>
  </si>
  <si>
    <t>Disc</t>
  </si>
  <si>
    <t>Modules (P0e1/P0e2/P0e3)</t>
  </si>
  <si>
    <t>PPF1 position</t>
  </si>
  <si>
    <t>O13/O11/O10</t>
  </si>
  <si>
    <t>Packing factor</t>
  </si>
  <si>
    <t>Tape  Type</t>
  </si>
  <si>
    <t>9: To PPF1 from CAD model (mm)</t>
  </si>
  <si>
    <t>10: Board edge - pad + excess (mm)</t>
  </si>
  <si>
    <t>Eventual horizontal tape run R (mm)</t>
  </si>
  <si>
    <t>3: Length to next bend (+ 0.45/disc - STFT) (mm)</t>
  </si>
  <si>
    <t>PPF1 pos'n Lx</t>
  </si>
  <si>
    <t>Packing factor = 1.5x</t>
  </si>
  <si>
    <t xml:space="preserve">Cylinder R (mm) </t>
  </si>
  <si>
    <t>@</t>
  </si>
  <si>
    <t>_pline</t>
  </si>
  <si>
    <t>,</t>
  </si>
  <si>
    <t>a</t>
  </si>
  <si>
    <t>l</t>
  </si>
  <si>
    <t>FOR P0e4:6</t>
  </si>
  <si>
    <t>PCB centre Z from JDN model</t>
  </si>
  <si>
    <t>B1 Z (mm)</t>
  </si>
  <si>
    <t>B1 R (mm)</t>
  </si>
  <si>
    <t>Cable tray R (mm)</t>
  </si>
  <si>
    <t>D1, L1</t>
  </si>
  <si>
    <t>D9, L2</t>
  </si>
  <si>
    <t>D5, L3</t>
  </si>
  <si>
    <t>w</t>
  </si>
  <si>
    <t>_color</t>
  </si>
  <si>
    <t>bylayer</t>
  </si>
  <si>
    <t>magenta</t>
  </si>
  <si>
    <t>red</t>
  </si>
  <si>
    <t>blue</t>
  </si>
  <si>
    <t>B1 r (min 5) (mm)</t>
  </si>
  <si>
    <t>Total no.</t>
  </si>
  <si>
    <t>Grand total</t>
  </si>
  <si>
    <t>Tape no.</t>
  </si>
  <si>
    <t># needed</t>
  </si>
  <si>
    <t>dif. Len.</t>
  </si>
  <si>
    <t>Bin width</t>
  </si>
  <si>
    <t># in bin</t>
  </si>
  <si>
    <t>Total</t>
  </si>
  <si>
    <t>Bin #</t>
  </si>
  <si>
    <t>mm</t>
  </si>
  <si>
    <t>Tape len</t>
  </si>
  <si>
    <t xml:space="preserve">Tapes to </t>
  </si>
  <si>
    <t>deliver</t>
  </si>
  <si>
    <t>estimate</t>
  </si>
  <si>
    <t>Yield</t>
  </si>
  <si>
    <t>factor</t>
  </si>
  <si>
    <t>m2</t>
  </si>
  <si>
    <t>Date</t>
  </si>
  <si>
    <t>Tape lengths' worksheet, CAD input numbers, column AJ changed.</t>
  </si>
  <si>
    <t>Modification(s)</t>
  </si>
  <si>
    <t>Prepared by</t>
  </si>
  <si>
    <t>Vladamir Cindro</t>
  </si>
  <si>
    <t>Marko Mikuz</t>
  </si>
  <si>
    <t>Checked by</t>
  </si>
  <si>
    <t xml:space="preserve"> Tony Weidberg</t>
  </si>
  <si>
    <t>Approved</t>
  </si>
  <si>
    <t>This header sheet added</t>
  </si>
  <si>
    <t>ATL-IS-ES-0095</t>
  </si>
  <si>
    <t>Worksheets 'S &amp; Straight comparison' &amp; 'Prototype S bend' deleted</t>
  </si>
  <si>
    <t>Production table' worksheet updated</t>
  </si>
  <si>
    <t>This document specifies the nominal lengths of Low Mass Tapes used in interconnect harnesses between PPF0 and PPF1</t>
  </si>
  <si>
    <t>Spreadsheet of Low Mass Tape Length from PPF0 to PPF1 on SCT End-cap</t>
  </si>
  <si>
    <t>Bin</t>
  </si>
  <si>
    <t>Batch</t>
  </si>
  <si>
    <t xml:space="preserve">Tapes in batch </t>
  </si>
  <si>
    <t>delivery date</t>
  </si>
  <si>
    <t>10.oct.03</t>
  </si>
  <si>
    <t>16.jan.04.</t>
  </si>
  <si>
    <t>1b</t>
  </si>
  <si>
    <t>1c</t>
  </si>
  <si>
    <t>Production schedule' worksheet added</t>
  </si>
  <si>
    <t>PPF1-2 PCBs</t>
  </si>
  <si>
    <t>PPF1-3 PCBs</t>
  </si>
  <si>
    <t>Total PPF1-2</t>
  </si>
  <si>
    <t>Total PPF1-2 / EC</t>
  </si>
  <si>
    <t>Total PPF1-3 / EC</t>
  </si>
  <si>
    <t>Total # of PCBs</t>
  </si>
  <si>
    <t>2/ Column headings corrected in 'Tape lengths' spreadsheet</t>
  </si>
  <si>
    <t>3/ Note added about Disc 9 rotation and position of modules related to ATL-IS-EN-0024</t>
  </si>
  <si>
    <t>1/Columns added to show numbers of 2 &amp; 3 way PCBs in each EC</t>
  </si>
  <si>
    <t>Modules (P0e4/P0e5/P0e6)</t>
  </si>
  <si>
    <t>Modules (P0e7/P0e8/P0e9)</t>
  </si>
  <si>
    <t>Modules (P0e10/P0e11/P0e12)</t>
  </si>
  <si>
    <t>Disc 9 rotated so module positions do not appear in same orientation as shown in ATL-IS-EN-0024 v.1</t>
  </si>
  <si>
    <t>PCB Numbers</t>
  </si>
  <si>
    <t>There will be 9 trays, each containing 3 PCBs, in 4 housings per quadrant,</t>
  </si>
  <si>
    <t>except 1 tray in 1 housing out of the 4 housings / quadrant does not have a PCB.</t>
  </si>
  <si>
    <t>There are then 4 quadrants and 2 forwards,
therefore 3x9x4x4x2 - (1x4x2) = 856</t>
  </si>
  <si>
    <t>Jason Tarrant</t>
  </si>
  <si>
    <t>Version</t>
  </si>
  <si>
    <t>Modules</t>
  </si>
  <si>
    <t>Module @ LH PCB</t>
  </si>
  <si>
    <t>Module @ Middle PCB</t>
  </si>
  <si>
    <t>Module @ RH PCB</t>
  </si>
  <si>
    <t>Length from Clamp to PCB (mm, from CAD)</t>
  </si>
  <si>
    <t>Excess for short-connection (mm)</t>
  </si>
  <si>
    <t>Length from edge of PCB to connector (mm)</t>
  </si>
  <si>
    <t>Length (mm)</t>
  </si>
  <si>
    <t>_O1/___/_O3</t>
  </si>
  <si>
    <t>_M1/_O2/_M2</t>
  </si>
  <si>
    <t>_O1/_I2/_O3</t>
  </si>
  <si>
    <t>_I1/_02/_M2</t>
  </si>
  <si>
    <t>_M1/___/___</t>
  </si>
  <si>
    <t>___/O12/___</t>
  </si>
  <si>
    <t>_O4/_O5/_O6</t>
  </si>
  <si>
    <t>_M3/_M4/_M5</t>
  </si>
  <si>
    <t>_O4/_I4/_I5</t>
  </si>
  <si>
    <t>_I3/_O5/_O6</t>
  </si>
  <si>
    <t>___/_O8/___</t>
  </si>
  <si>
    <t>_O9/_07/___</t>
  </si>
  <si>
    <t>_M7/_O7/_09</t>
  </si>
  <si>
    <t>_M6/_O8/_M8</t>
  </si>
  <si>
    <t>_M7/_I6/_I7</t>
  </si>
  <si>
    <t>___/_O7/_09</t>
  </si>
  <si>
    <t>_O6/_O5/_O4</t>
  </si>
  <si>
    <t>___/___/___</t>
  </si>
  <si>
    <t>_M9/O12/M10</t>
  </si>
  <si>
    <t>_I8/_I9/013</t>
  </si>
  <si>
    <t>___/_O2/___</t>
  </si>
  <si>
    <t>_03/___/_01</t>
  </si>
  <si>
    <t>Phi adjustment</t>
  </si>
  <si>
    <t xml:space="preserve"> </t>
  </si>
  <si>
    <t>TYPE II CLAMP POSITIONS: BLUE = ROW 1 (LOW Z),</t>
  </si>
  <si>
    <t>ORANGE = ROW 2, GREEN = ROW 3, GREY = ROW 4 (HIGH Z)</t>
  </si>
  <si>
    <t>Module</t>
  </si>
  <si>
    <t>Row (1 = low Z, 4 = high Z)</t>
  </si>
  <si>
    <t>The suggested clamp slot postions above will keep the</t>
  </si>
  <si>
    <t>additional length required for phi adjustment to &lt;2mm</t>
  </si>
  <si>
    <t>Suggested clamp position (for middle PCB =-3 through 0 to 3)</t>
  </si>
  <si>
    <t>Suggested clamp position (for LH PCB =-8 to  -3, all but blue = -7 to -3)</t>
  </si>
  <si>
    <t>Suggested clamp position (for RH PCB = 3 to 8, all but blue = 3 to 7)</t>
  </si>
  <si>
    <t>before 18/05/04</t>
  </si>
  <si>
    <t>on 18/05/04</t>
  </si>
  <si>
    <t>Difference</t>
  </si>
  <si>
    <t>Adjustment for 2-way PCB position in 3-way tray (D1 only)</t>
  </si>
  <si>
    <t># off</t>
  </si>
  <si>
    <t>190/190/190</t>
  </si>
  <si>
    <t>195/195/195</t>
  </si>
  <si>
    <t>204/204/204</t>
  </si>
  <si>
    <t>223/223/223</t>
  </si>
  <si>
    <t>212/212/212</t>
  </si>
  <si>
    <t>233/233/233</t>
  </si>
  <si>
    <t>215/223/215</t>
  </si>
  <si>
    <t>233/235/233</t>
  </si>
  <si>
    <t>245/245/245</t>
  </si>
  <si>
    <t>256/256/256</t>
  </si>
  <si>
    <t>268/268/268</t>
  </si>
  <si>
    <t>lengths</t>
  </si>
  <si>
    <t>type</t>
  </si>
  <si>
    <t>x</t>
  </si>
  <si>
    <t>checksum</t>
  </si>
  <si>
    <t>Material</t>
  </si>
  <si>
    <t>144/144/144</t>
  </si>
  <si>
    <t>143/143/143</t>
  </si>
  <si>
    <t>150/150/150</t>
  </si>
  <si>
    <t>153/153/153</t>
  </si>
  <si>
    <t>153/158/153</t>
  </si>
  <si>
    <t>162/162/162</t>
  </si>
  <si>
    <t>168/168/168</t>
  </si>
  <si>
    <t>168/172/168</t>
  </si>
  <si>
    <t>178/178/178</t>
  </si>
  <si>
    <t>187/187/187</t>
  </si>
  <si>
    <t>197/197/197</t>
  </si>
  <si>
    <t>Version 2b</t>
  </si>
  <si>
    <t>2b</t>
  </si>
  <si>
    <t>Lengths in column xx changed to reflect updated PPF1 region of 'Tape lengths' worksheet</t>
  </si>
  <si>
    <t>Type II strip-back worksheets added for full size and compact envelopes</t>
  </si>
  <si>
    <t>Only this PPF1 on SCT EC A end requires compliance with compact envelope</t>
  </si>
  <si>
    <t>See below why these are greyed out</t>
  </si>
  <si>
    <t>Len. Dif</t>
  </si>
  <si>
    <t>Type dif.</t>
  </si>
  <si>
    <t xml:space="preserve">Version 2 to version 1 difference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</si>
</sst>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_ ;[Red]\-0.000\ 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lightUp"/>
    </fill>
    <fill>
      <patternFill patternType="mediumGray"/>
    </fill>
    <fill>
      <patternFill patternType="mediumGray">
        <bgColor indexed="44"/>
      </patternFill>
    </fill>
    <fill>
      <patternFill patternType="mediumGray">
        <bgColor indexed="51"/>
      </patternFill>
    </fill>
    <fill>
      <patternFill patternType="mediumGray">
        <bgColor indexed="50"/>
      </patternFill>
    </fill>
    <fill>
      <patternFill patternType="mediumGray">
        <bgColor indexed="22"/>
      </patternFill>
    </fill>
    <fill>
      <patternFill patternType="mediumGray">
        <bgColor indexed="55"/>
      </patternFill>
    </fill>
    <fill>
      <patternFill patternType="mediumGray">
        <bgColor indexed="23"/>
      </patternFill>
    </fill>
    <fill>
      <patternFill patternType="solid">
        <fgColor indexed="42"/>
        <bgColor indexed="64"/>
      </patternFill>
    </fill>
  </fills>
  <borders count="1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medium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dashed"/>
      <right style="medium"/>
      <top style="dashed"/>
      <bottom>
        <color indexed="63"/>
      </bottom>
    </border>
    <border>
      <left style="dashed"/>
      <right style="medium"/>
      <top style="thin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5" xfId="0" applyFill="1" applyBorder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1" fillId="0" borderId="7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textRotation="90" wrapText="1"/>
    </xf>
    <xf numFmtId="173" fontId="0" fillId="0" borderId="0" xfId="0" applyNumberFormat="1" applyAlignment="1">
      <alignment/>
    </xf>
    <xf numFmtId="0" fontId="1" fillId="0" borderId="20" xfId="0" applyFont="1" applyBorder="1" applyAlignment="1">
      <alignment textRotation="90" wrapText="1"/>
    </xf>
    <xf numFmtId="0" fontId="1" fillId="0" borderId="21" xfId="0" applyFont="1" applyBorder="1" applyAlignment="1">
      <alignment textRotation="90" wrapText="1"/>
    </xf>
    <xf numFmtId="0" fontId="1" fillId="3" borderId="21" xfId="0" applyFont="1" applyFill="1" applyBorder="1" applyAlignment="1">
      <alignment textRotation="90" wrapText="1"/>
    </xf>
    <xf numFmtId="173" fontId="1" fillId="3" borderId="21" xfId="0" applyNumberFormat="1" applyFont="1" applyFill="1" applyBorder="1" applyAlignment="1">
      <alignment textRotation="90" wrapText="1"/>
    </xf>
    <xf numFmtId="0" fontId="1" fillId="0" borderId="22" xfId="0" applyFont="1" applyBorder="1" applyAlignment="1">
      <alignment textRotation="90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0" borderId="24" xfId="0" applyBorder="1" applyAlignment="1">
      <alignment/>
    </xf>
    <xf numFmtId="173" fontId="0" fillId="0" borderId="24" xfId="0" applyNumberFormat="1" applyBorder="1" applyAlignment="1">
      <alignment/>
    </xf>
    <xf numFmtId="172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4" borderId="26" xfId="0" applyFont="1" applyFill="1" applyBorder="1" applyAlignment="1">
      <alignment/>
    </xf>
    <xf numFmtId="0" fontId="0" fillId="0" borderId="26" xfId="0" applyBorder="1" applyAlignment="1">
      <alignment/>
    </xf>
    <xf numFmtId="173" fontId="0" fillId="0" borderId="26" xfId="0" applyNumberFormat="1" applyBorder="1" applyAlignment="1">
      <alignment/>
    </xf>
    <xf numFmtId="172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8" xfId="0" applyBorder="1" applyAlignment="1">
      <alignment/>
    </xf>
    <xf numFmtId="173" fontId="0" fillId="0" borderId="28" xfId="0" applyNumberFormat="1" applyBorder="1" applyAlignment="1">
      <alignment/>
    </xf>
    <xf numFmtId="172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4" borderId="30" xfId="0" applyFont="1" applyFill="1" applyBorder="1" applyAlignment="1">
      <alignment/>
    </xf>
    <xf numFmtId="0" fontId="0" fillId="0" borderId="30" xfId="0" applyBorder="1" applyAlignment="1">
      <alignment/>
    </xf>
    <xf numFmtId="173" fontId="0" fillId="0" borderId="30" xfId="0" applyNumberFormat="1" applyBorder="1" applyAlignment="1">
      <alignment/>
    </xf>
    <xf numFmtId="0" fontId="0" fillId="4" borderId="30" xfId="0" applyFill="1" applyBorder="1" applyAlignment="1">
      <alignment/>
    </xf>
    <xf numFmtId="172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4" borderId="32" xfId="0" applyFont="1" applyFill="1" applyBorder="1" applyAlignment="1">
      <alignment/>
    </xf>
    <xf numFmtId="0" fontId="0" fillId="0" borderId="32" xfId="0" applyBorder="1" applyAlignment="1">
      <alignment/>
    </xf>
    <xf numFmtId="173" fontId="0" fillId="0" borderId="32" xfId="0" applyNumberFormat="1" applyBorder="1" applyAlignment="1">
      <alignment/>
    </xf>
    <xf numFmtId="0" fontId="0" fillId="4" borderId="32" xfId="0" applyFill="1" applyBorder="1" applyAlignment="1">
      <alignment/>
    </xf>
    <xf numFmtId="172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24" xfId="0" applyFill="1" applyBorder="1" applyAlignment="1">
      <alignment/>
    </xf>
    <xf numFmtId="173" fontId="0" fillId="0" borderId="24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1" fillId="0" borderId="21" xfId="0" applyNumberFormat="1" applyFont="1" applyBorder="1" applyAlignment="1">
      <alignment textRotation="90" wrapText="1"/>
    </xf>
    <xf numFmtId="0" fontId="0" fillId="5" borderId="0" xfId="0" applyFill="1" applyAlignment="1">
      <alignment/>
    </xf>
    <xf numFmtId="0" fontId="0" fillId="0" borderId="26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24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0" fontId="1" fillId="0" borderId="38" xfId="0" applyFont="1" applyBorder="1" applyAlignment="1">
      <alignment/>
    </xf>
    <xf numFmtId="1" fontId="1" fillId="0" borderId="38" xfId="0" applyNumberFormat="1" applyFont="1" applyBorder="1" applyAlignment="1">
      <alignment/>
    </xf>
    <xf numFmtId="172" fontId="1" fillId="0" borderId="38" xfId="0" applyNumberFormat="1" applyFont="1" applyBorder="1" applyAlignment="1">
      <alignment/>
    </xf>
    <xf numFmtId="0" fontId="0" fillId="4" borderId="39" xfId="0" applyFill="1" applyBorder="1" applyAlignment="1">
      <alignment horizontal="center"/>
    </xf>
    <xf numFmtId="1" fontId="0" fillId="4" borderId="39" xfId="0" applyNumberFormat="1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1" fontId="0" fillId="4" borderId="40" xfId="0" applyNumberFormat="1" applyFill="1" applyBorder="1" applyAlignment="1">
      <alignment horizontal="center"/>
    </xf>
    <xf numFmtId="0" fontId="0" fillId="4" borderId="41" xfId="0" applyFill="1" applyBorder="1" applyAlignment="1">
      <alignment/>
    </xf>
    <xf numFmtId="1" fontId="0" fillId="4" borderId="41" xfId="0" applyNumberFormat="1" applyFill="1" applyBorder="1" applyAlignment="1">
      <alignment/>
    </xf>
    <xf numFmtId="0" fontId="1" fillId="4" borderId="38" xfId="0" applyFont="1" applyFill="1" applyBorder="1" applyAlignment="1">
      <alignment/>
    </xf>
    <xf numFmtId="1" fontId="1" fillId="4" borderId="38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3" xfId="0" applyNumberFormat="1" applyBorder="1" applyAlignment="1">
      <alignment/>
    </xf>
    <xf numFmtId="0" fontId="0" fillId="0" borderId="44" xfId="0" applyBorder="1" applyAlignment="1">
      <alignment horizontal="right"/>
    </xf>
    <xf numFmtId="15" fontId="0" fillId="0" borderId="44" xfId="0" applyNumberFormat="1" applyBorder="1" applyAlignment="1">
      <alignment horizontal="righ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51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0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6" borderId="2" xfId="0" applyFill="1" applyBorder="1" applyAlignment="1">
      <alignment/>
    </xf>
    <xf numFmtId="0" fontId="0" fillId="7" borderId="2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5" xfId="0" applyFill="1" applyBorder="1" applyAlignment="1">
      <alignment/>
    </xf>
    <xf numFmtId="0" fontId="1" fillId="0" borderId="52" xfId="0" applyFont="1" applyFill="1" applyBorder="1" applyAlignment="1">
      <alignment horizontal="center" wrapText="1"/>
    </xf>
    <xf numFmtId="0" fontId="0" fillId="0" borderId="5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6" xfId="0" applyFill="1" applyBorder="1" applyAlignment="1">
      <alignment/>
    </xf>
    <xf numFmtId="0" fontId="1" fillId="9" borderId="64" xfId="0" applyFont="1" applyFill="1" applyBorder="1" applyAlignment="1">
      <alignment horizontal="right"/>
    </xf>
    <xf numFmtId="0" fontId="1" fillId="9" borderId="65" xfId="0" applyFont="1" applyFill="1" applyBorder="1" applyAlignment="1">
      <alignment horizontal="left"/>
    </xf>
    <xf numFmtId="0" fontId="1" fillId="9" borderId="66" xfId="0" applyFont="1" applyFill="1" applyBorder="1" applyAlignment="1">
      <alignment horizontal="left"/>
    </xf>
    <xf numFmtId="0" fontId="1" fillId="9" borderId="67" xfId="0" applyFont="1" applyFill="1" applyBorder="1" applyAlignment="1">
      <alignment horizontal="right"/>
    </xf>
    <xf numFmtId="0" fontId="1" fillId="9" borderId="68" xfId="0" applyFont="1" applyFill="1" applyBorder="1" applyAlignment="1">
      <alignment horizontal="left"/>
    </xf>
    <xf numFmtId="0" fontId="1" fillId="9" borderId="69" xfId="0" applyFont="1" applyFill="1" applyBorder="1" applyAlignment="1">
      <alignment horizontal="left"/>
    </xf>
    <xf numFmtId="0" fontId="1" fillId="9" borderId="70" xfId="0" applyFont="1" applyFill="1" applyBorder="1" applyAlignment="1">
      <alignment horizontal="right"/>
    </xf>
    <xf numFmtId="0" fontId="1" fillId="9" borderId="71" xfId="0" applyFont="1" applyFill="1" applyBorder="1" applyAlignment="1">
      <alignment horizontal="left"/>
    </xf>
    <xf numFmtId="0" fontId="1" fillId="9" borderId="72" xfId="0" applyFont="1" applyFill="1" applyBorder="1" applyAlignment="1">
      <alignment horizontal="left"/>
    </xf>
    <xf numFmtId="0" fontId="1" fillId="8" borderId="70" xfId="0" applyFont="1" applyFill="1" applyBorder="1" applyAlignment="1">
      <alignment horizontal="right"/>
    </xf>
    <xf numFmtId="0" fontId="1" fillId="8" borderId="71" xfId="0" applyFont="1" applyFill="1" applyBorder="1" applyAlignment="1">
      <alignment horizontal="left"/>
    </xf>
    <xf numFmtId="0" fontId="1" fillId="8" borderId="72" xfId="0" applyFont="1" applyFill="1" applyBorder="1" applyAlignment="1">
      <alignment horizontal="left"/>
    </xf>
    <xf numFmtId="0" fontId="1" fillId="8" borderId="67" xfId="0" applyFont="1" applyFill="1" applyBorder="1" applyAlignment="1">
      <alignment horizontal="right"/>
    </xf>
    <xf numFmtId="0" fontId="1" fillId="8" borderId="68" xfId="0" applyFont="1" applyFill="1" applyBorder="1" applyAlignment="1">
      <alignment horizontal="left"/>
    </xf>
    <xf numFmtId="0" fontId="1" fillId="8" borderId="69" xfId="0" applyFont="1" applyFill="1" applyBorder="1" applyAlignment="1">
      <alignment horizontal="left"/>
    </xf>
    <xf numFmtId="0" fontId="1" fillId="10" borderId="67" xfId="0" applyFont="1" applyFill="1" applyBorder="1" applyAlignment="1">
      <alignment horizontal="right"/>
    </xf>
    <xf numFmtId="0" fontId="1" fillId="10" borderId="68" xfId="0" applyFont="1" applyFill="1" applyBorder="1" applyAlignment="1">
      <alignment horizontal="left"/>
    </xf>
    <xf numFmtId="0" fontId="1" fillId="10" borderId="70" xfId="0" applyFont="1" applyFill="1" applyBorder="1" applyAlignment="1">
      <alignment horizontal="right"/>
    </xf>
    <xf numFmtId="0" fontId="1" fillId="10" borderId="71" xfId="0" applyFont="1" applyFill="1" applyBorder="1" applyAlignment="1">
      <alignment horizontal="left"/>
    </xf>
    <xf numFmtId="0" fontId="1" fillId="10" borderId="72" xfId="0" applyFont="1" applyFill="1" applyBorder="1" applyAlignment="1">
      <alignment horizontal="left"/>
    </xf>
    <xf numFmtId="0" fontId="1" fillId="10" borderId="69" xfId="0" applyFont="1" applyFill="1" applyBorder="1" applyAlignment="1">
      <alignment horizontal="left"/>
    </xf>
    <xf numFmtId="0" fontId="1" fillId="7" borderId="67" xfId="0" applyFont="1" applyFill="1" applyBorder="1" applyAlignment="1">
      <alignment horizontal="right"/>
    </xf>
    <xf numFmtId="0" fontId="1" fillId="7" borderId="69" xfId="0" applyFont="1" applyFill="1" applyBorder="1" applyAlignment="1">
      <alignment horizontal="left"/>
    </xf>
    <xf numFmtId="0" fontId="1" fillId="7" borderId="68" xfId="0" applyFont="1" applyFill="1" applyBorder="1" applyAlignment="1">
      <alignment horizontal="left"/>
    </xf>
    <xf numFmtId="0" fontId="1" fillId="7" borderId="70" xfId="0" applyFont="1" applyFill="1" applyBorder="1" applyAlignment="1">
      <alignment horizontal="right"/>
    </xf>
    <xf numFmtId="0" fontId="1" fillId="7" borderId="71" xfId="0" applyFont="1" applyFill="1" applyBorder="1" applyAlignment="1">
      <alignment horizontal="left"/>
    </xf>
    <xf numFmtId="0" fontId="1" fillId="7" borderId="72" xfId="0" applyFont="1" applyFill="1" applyBorder="1" applyAlignment="1">
      <alignment horizontal="left"/>
    </xf>
    <xf numFmtId="0" fontId="1" fillId="6" borderId="70" xfId="0" applyFont="1" applyFill="1" applyBorder="1" applyAlignment="1">
      <alignment horizontal="right"/>
    </xf>
    <xf numFmtId="0" fontId="1" fillId="6" borderId="71" xfId="0" applyFont="1" applyFill="1" applyBorder="1" applyAlignment="1">
      <alignment horizontal="left"/>
    </xf>
    <xf numFmtId="0" fontId="1" fillId="6" borderId="72" xfId="0" applyFont="1" applyFill="1" applyBorder="1" applyAlignment="1">
      <alignment horizontal="left"/>
    </xf>
    <xf numFmtId="0" fontId="1" fillId="6" borderId="73" xfId="0" applyFont="1" applyFill="1" applyBorder="1" applyAlignment="1">
      <alignment horizontal="right"/>
    </xf>
    <xf numFmtId="0" fontId="1" fillId="6" borderId="74" xfId="0" applyFont="1" applyFill="1" applyBorder="1" applyAlignment="1">
      <alignment horizontal="left"/>
    </xf>
    <xf numFmtId="0" fontId="1" fillId="6" borderId="75" xfId="0" applyFont="1" applyFill="1" applyBorder="1" applyAlignment="1">
      <alignment horizontal="left"/>
    </xf>
    <xf numFmtId="0" fontId="1" fillId="11" borderId="70" xfId="0" applyFont="1" applyFill="1" applyBorder="1" applyAlignment="1">
      <alignment horizontal="right"/>
    </xf>
    <xf numFmtId="0" fontId="1" fillId="11" borderId="71" xfId="0" applyFont="1" applyFill="1" applyBorder="1" applyAlignment="1">
      <alignment horizontal="left"/>
    </xf>
    <xf numFmtId="0" fontId="1" fillId="11" borderId="72" xfId="0" applyFont="1" applyFill="1" applyBorder="1" applyAlignment="1">
      <alignment horizontal="left"/>
    </xf>
    <xf numFmtId="0" fontId="1" fillId="11" borderId="76" xfId="0" applyFont="1" applyFill="1" applyBorder="1" applyAlignment="1">
      <alignment horizontal="right"/>
    </xf>
    <xf numFmtId="0" fontId="1" fillId="11" borderId="77" xfId="0" applyFont="1" applyFill="1" applyBorder="1" applyAlignment="1">
      <alignment horizontal="left"/>
    </xf>
    <xf numFmtId="0" fontId="1" fillId="11" borderId="78" xfId="0" applyFont="1" applyFill="1" applyBorder="1" applyAlignment="1">
      <alignment horizontal="left"/>
    </xf>
    <xf numFmtId="0" fontId="1" fillId="0" borderId="5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79" xfId="0" applyFont="1" applyBorder="1" applyAlignment="1">
      <alignment horizontal="right" wrapText="1"/>
    </xf>
    <xf numFmtId="0" fontId="1" fillId="0" borderId="80" xfId="0" applyFont="1" applyBorder="1" applyAlignment="1">
      <alignment horizontal="center" wrapText="1"/>
    </xf>
    <xf numFmtId="0" fontId="0" fillId="9" borderId="14" xfId="0" applyFill="1" applyBorder="1" applyAlignment="1">
      <alignment/>
    </xf>
    <xf numFmtId="0" fontId="0" fillId="9" borderId="81" xfId="0" applyFill="1" applyBorder="1" applyAlignment="1">
      <alignment/>
    </xf>
    <xf numFmtId="0" fontId="0" fillId="9" borderId="5" xfId="0" applyFill="1" applyBorder="1" applyAlignment="1">
      <alignment/>
    </xf>
    <xf numFmtId="0" fontId="0" fillId="9" borderId="16" xfId="0" applyFill="1" applyBorder="1" applyAlignment="1">
      <alignment/>
    </xf>
    <xf numFmtId="0" fontId="0" fillId="9" borderId="4" xfId="0" applyFill="1" applyBorder="1" applyAlignment="1">
      <alignment horizontal="right"/>
    </xf>
    <xf numFmtId="0" fontId="0" fillId="9" borderId="6" xfId="0" applyFill="1" applyBorder="1" applyAlignment="1">
      <alignment/>
    </xf>
    <xf numFmtId="0" fontId="0" fillId="9" borderId="82" xfId="0" applyFill="1" applyBorder="1" applyAlignment="1">
      <alignment/>
    </xf>
    <xf numFmtId="0" fontId="0" fillId="8" borderId="55" xfId="0" applyFill="1" applyBorder="1" applyAlignment="1">
      <alignment horizontal="right"/>
    </xf>
    <xf numFmtId="0" fontId="0" fillId="8" borderId="16" xfId="0" applyFill="1" applyBorder="1" applyAlignment="1">
      <alignment/>
    </xf>
    <xf numFmtId="0" fontId="0" fillId="8" borderId="4" xfId="0" applyFill="1" applyBorder="1" applyAlignment="1">
      <alignment horizontal="right"/>
    </xf>
    <xf numFmtId="0" fontId="0" fillId="8" borderId="6" xfId="0" applyFill="1" applyBorder="1" applyAlignment="1">
      <alignment/>
    </xf>
    <xf numFmtId="0" fontId="0" fillId="8" borderId="82" xfId="0" applyFill="1" applyBorder="1" applyAlignment="1">
      <alignment/>
    </xf>
    <xf numFmtId="0" fontId="0" fillId="10" borderId="55" xfId="0" applyFill="1" applyBorder="1" applyAlignment="1">
      <alignment horizontal="right"/>
    </xf>
    <xf numFmtId="0" fontId="0" fillId="10" borderId="5" xfId="0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4" xfId="0" applyFill="1" applyBorder="1" applyAlignment="1">
      <alignment horizontal="right"/>
    </xf>
    <xf numFmtId="0" fontId="0" fillId="10" borderId="6" xfId="0" applyFill="1" applyBorder="1" applyAlignment="1">
      <alignment/>
    </xf>
    <xf numFmtId="0" fontId="0" fillId="10" borderId="82" xfId="0" applyFill="1" applyBorder="1" applyAlignment="1">
      <alignment/>
    </xf>
    <xf numFmtId="0" fontId="0" fillId="11" borderId="56" xfId="0" applyFont="1" applyFill="1" applyBorder="1" applyAlignment="1">
      <alignment/>
    </xf>
    <xf numFmtId="0" fontId="0" fillId="11" borderId="63" xfId="0" applyFont="1" applyFill="1" applyBorder="1" applyAlignment="1">
      <alignment/>
    </xf>
    <xf numFmtId="0" fontId="0" fillId="11" borderId="83" xfId="0" applyFont="1" applyFill="1" applyBorder="1" applyAlignment="1">
      <alignment horizontal="right"/>
    </xf>
    <xf numFmtId="0" fontId="0" fillId="11" borderId="84" xfId="0" applyFont="1" applyFill="1" applyBorder="1" applyAlignment="1">
      <alignment/>
    </xf>
    <xf numFmtId="0" fontId="1" fillId="0" borderId="85" xfId="0" applyFont="1" applyBorder="1" applyAlignment="1">
      <alignment horizontal="right" wrapText="1"/>
    </xf>
    <xf numFmtId="0" fontId="0" fillId="9" borderId="86" xfId="0" applyFill="1" applyBorder="1" applyAlignment="1">
      <alignment horizontal="right"/>
    </xf>
    <xf numFmtId="0" fontId="0" fillId="11" borderId="87" xfId="0" applyFont="1" applyFill="1" applyBorder="1" applyAlignment="1">
      <alignment horizontal="right"/>
    </xf>
    <xf numFmtId="0" fontId="1" fillId="0" borderId="46" xfId="0" applyFont="1" applyBorder="1" applyAlignment="1">
      <alignment horizontal="center" textRotation="90" wrapText="1"/>
    </xf>
    <xf numFmtId="0" fontId="1" fillId="0" borderId="8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89" xfId="0" applyFont="1" applyBorder="1" applyAlignment="1">
      <alignment/>
    </xf>
    <xf numFmtId="0" fontId="0" fillId="9" borderId="90" xfId="0" applyFill="1" applyBorder="1" applyAlignment="1">
      <alignment horizontal="right"/>
    </xf>
    <xf numFmtId="0" fontId="0" fillId="9" borderId="13" xfId="0" applyFill="1" applyBorder="1" applyAlignment="1">
      <alignment horizontal="right"/>
    </xf>
    <xf numFmtId="0" fontId="0" fillId="9" borderId="15" xfId="0" applyFill="1" applyBorder="1" applyAlignment="1">
      <alignment/>
    </xf>
    <xf numFmtId="0" fontId="0" fillId="9" borderId="91" xfId="0" applyFill="1" applyBorder="1" applyAlignment="1">
      <alignment/>
    </xf>
    <xf numFmtId="0" fontId="1" fillId="0" borderId="92" xfId="0" applyFont="1" applyBorder="1" applyAlignment="1">
      <alignment/>
    </xf>
    <xf numFmtId="0" fontId="0" fillId="9" borderId="93" xfId="0" applyFill="1" applyBorder="1" applyAlignment="1">
      <alignment horizontal="right"/>
    </xf>
    <xf numFmtId="0" fontId="0" fillId="9" borderId="8" xfId="0" applyFill="1" applyBorder="1" applyAlignment="1">
      <alignment/>
    </xf>
    <xf numFmtId="0" fontId="0" fillId="9" borderId="17" xfId="0" applyFill="1" applyBorder="1" applyAlignment="1">
      <alignment/>
    </xf>
    <xf numFmtId="0" fontId="0" fillId="9" borderId="7" xfId="0" applyFill="1" applyBorder="1" applyAlignment="1">
      <alignment horizontal="right"/>
    </xf>
    <xf numFmtId="0" fontId="0" fillId="9" borderId="9" xfId="0" applyFill="1" applyBorder="1" applyAlignment="1">
      <alignment/>
    </xf>
    <xf numFmtId="0" fontId="0" fillId="9" borderId="94" xfId="0" applyFill="1" applyBorder="1" applyAlignment="1">
      <alignment/>
    </xf>
    <xf numFmtId="0" fontId="0" fillId="8" borderId="59" xfId="0" applyFill="1" applyBorder="1" applyAlignment="1">
      <alignment horizontal="right"/>
    </xf>
    <xf numFmtId="0" fontId="0" fillId="8" borderId="61" xfId="0" applyFill="1" applyBorder="1" applyAlignment="1">
      <alignment/>
    </xf>
    <xf numFmtId="0" fontId="0" fillId="8" borderId="1" xfId="0" applyFill="1" applyBorder="1" applyAlignment="1">
      <alignment horizontal="right"/>
    </xf>
    <xf numFmtId="0" fontId="0" fillId="8" borderId="3" xfId="0" applyFill="1" applyBorder="1" applyAlignment="1">
      <alignment/>
    </xf>
    <xf numFmtId="0" fontId="0" fillId="8" borderId="95" xfId="0" applyFill="1" applyBorder="1" applyAlignment="1">
      <alignment/>
    </xf>
    <xf numFmtId="0" fontId="0" fillId="8" borderId="96" xfId="0" applyFill="1" applyBorder="1" applyAlignment="1">
      <alignment horizontal="right"/>
    </xf>
    <xf numFmtId="0" fontId="0" fillId="8" borderId="8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7" xfId="0" applyFill="1" applyBorder="1" applyAlignment="1">
      <alignment horizontal="right"/>
    </xf>
    <xf numFmtId="0" fontId="0" fillId="8" borderId="9" xfId="0" applyFill="1" applyBorder="1" applyAlignment="1">
      <alignment/>
    </xf>
    <xf numFmtId="0" fontId="0" fillId="8" borderId="94" xfId="0" applyFill="1" applyBorder="1" applyAlignment="1">
      <alignment/>
    </xf>
    <xf numFmtId="0" fontId="0" fillId="10" borderId="7" xfId="0" applyFill="1" applyBorder="1" applyAlignment="1">
      <alignment horizontal="right"/>
    </xf>
    <xf numFmtId="0" fontId="0" fillId="10" borderId="8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59" xfId="0" applyFill="1" applyBorder="1" applyAlignment="1">
      <alignment horizontal="right"/>
    </xf>
    <xf numFmtId="0" fontId="0" fillId="10" borderId="2" xfId="0" applyFill="1" applyBorder="1" applyAlignment="1">
      <alignment/>
    </xf>
    <xf numFmtId="0" fontId="0" fillId="10" borderId="61" xfId="0" applyFill="1" applyBorder="1" applyAlignment="1">
      <alignment/>
    </xf>
    <xf numFmtId="0" fontId="0" fillId="10" borderId="1" xfId="0" applyFill="1" applyBorder="1" applyAlignment="1">
      <alignment horizontal="right"/>
    </xf>
    <xf numFmtId="0" fontId="0" fillId="10" borderId="3" xfId="0" applyFill="1" applyBorder="1" applyAlignment="1">
      <alignment/>
    </xf>
    <xf numFmtId="0" fontId="0" fillId="10" borderId="95" xfId="0" applyFill="1" applyBorder="1" applyAlignment="1">
      <alignment/>
    </xf>
    <xf numFmtId="0" fontId="0" fillId="10" borderId="96" xfId="0" applyFill="1" applyBorder="1" applyAlignment="1">
      <alignment horizontal="right"/>
    </xf>
    <xf numFmtId="0" fontId="0" fillId="10" borderId="17" xfId="0" applyFill="1" applyBorder="1" applyAlignment="1">
      <alignment/>
    </xf>
    <xf numFmtId="0" fontId="0" fillId="10" borderId="94" xfId="0" applyFill="1" applyBorder="1" applyAlignment="1">
      <alignment/>
    </xf>
    <xf numFmtId="0" fontId="0" fillId="7" borderId="96" xfId="0" applyFill="1" applyBorder="1" applyAlignment="1">
      <alignment horizontal="right"/>
    </xf>
    <xf numFmtId="0" fontId="0" fillId="7" borderId="8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7" xfId="0" applyFill="1" applyBorder="1" applyAlignment="1">
      <alignment horizontal="right"/>
    </xf>
    <xf numFmtId="0" fontId="0" fillId="7" borderId="94" xfId="0" applyFill="1" applyBorder="1" applyAlignment="1">
      <alignment/>
    </xf>
    <xf numFmtId="0" fontId="0" fillId="7" borderId="59" xfId="0" applyFill="1" applyBorder="1" applyAlignment="1">
      <alignment horizontal="right"/>
    </xf>
    <xf numFmtId="0" fontId="0" fillId="7" borderId="61" xfId="0" applyFill="1" applyBorder="1" applyAlignment="1">
      <alignment/>
    </xf>
    <xf numFmtId="0" fontId="0" fillId="7" borderId="1" xfId="0" applyFill="1" applyBorder="1" applyAlignment="1">
      <alignment horizontal="right"/>
    </xf>
    <xf numFmtId="0" fontId="0" fillId="7" borderId="3" xfId="0" applyFill="1" applyBorder="1" applyAlignment="1">
      <alignment/>
    </xf>
    <xf numFmtId="0" fontId="0" fillId="7" borderId="95" xfId="0" applyFill="1" applyBorder="1" applyAlignment="1">
      <alignment/>
    </xf>
    <xf numFmtId="0" fontId="0" fillId="7" borderId="9" xfId="0" applyFill="1" applyBorder="1" applyAlignment="1">
      <alignment/>
    </xf>
    <xf numFmtId="0" fontId="0" fillId="11" borderId="90" xfId="0" applyFont="1" applyFill="1" applyBorder="1" applyAlignment="1">
      <alignment horizontal="right"/>
    </xf>
    <xf numFmtId="0" fontId="0" fillId="11" borderId="14" xfId="0" applyFont="1" applyFill="1" applyBorder="1" applyAlignment="1">
      <alignment/>
    </xf>
    <xf numFmtId="0" fontId="0" fillId="11" borderId="15" xfId="0" applyFont="1" applyFill="1" applyBorder="1" applyAlignment="1">
      <alignment/>
    </xf>
    <xf numFmtId="0" fontId="0" fillId="11" borderId="13" xfId="0" applyFont="1" applyFill="1" applyBorder="1" applyAlignment="1">
      <alignment horizontal="right"/>
    </xf>
    <xf numFmtId="0" fontId="0" fillId="6" borderId="59" xfId="0" applyFill="1" applyBorder="1" applyAlignment="1">
      <alignment horizontal="right"/>
    </xf>
    <xf numFmtId="0" fontId="0" fillId="6" borderId="61" xfId="0" applyFill="1" applyBorder="1" applyAlignment="1">
      <alignment/>
    </xf>
    <xf numFmtId="0" fontId="0" fillId="6" borderId="1" xfId="0" applyFill="1" applyBorder="1" applyAlignment="1">
      <alignment horizontal="right"/>
    </xf>
    <xf numFmtId="0" fontId="0" fillId="6" borderId="3" xfId="0" applyFill="1" applyBorder="1" applyAlignment="1">
      <alignment/>
    </xf>
    <xf numFmtId="0" fontId="0" fillId="6" borderId="95" xfId="0" applyFill="1" applyBorder="1" applyAlignment="1">
      <alignment/>
    </xf>
    <xf numFmtId="0" fontId="0" fillId="6" borderId="96" xfId="0" applyFill="1" applyBorder="1" applyAlignment="1">
      <alignment horizontal="right"/>
    </xf>
    <xf numFmtId="0" fontId="0" fillId="6" borderId="8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7" xfId="0" applyFill="1" applyBorder="1" applyAlignment="1">
      <alignment horizontal="right"/>
    </xf>
    <xf numFmtId="0" fontId="0" fillId="6" borderId="9" xfId="0" applyFill="1" applyBorder="1" applyAlignment="1">
      <alignment/>
    </xf>
    <xf numFmtId="0" fontId="0" fillId="6" borderId="94" xfId="0" applyFill="1" applyBorder="1" applyAlignment="1">
      <alignment/>
    </xf>
    <xf numFmtId="0" fontId="0" fillId="11" borderId="48" xfId="0" applyFont="1" applyFill="1" applyBorder="1" applyAlignment="1">
      <alignment/>
    </xf>
    <xf numFmtId="0" fontId="0" fillId="11" borderId="9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4" borderId="24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4" borderId="30" xfId="0" applyFont="1" applyFill="1" applyBorder="1" applyAlignment="1">
      <alignment/>
    </xf>
    <xf numFmtId="0" fontId="0" fillId="4" borderId="32" xfId="0" applyFont="1" applyFill="1" applyBorder="1" applyAlignment="1">
      <alignment/>
    </xf>
    <xf numFmtId="0" fontId="0" fillId="4" borderId="26" xfId="0" applyFont="1" applyFill="1" applyBorder="1" applyAlignment="1">
      <alignment/>
    </xf>
    <xf numFmtId="0" fontId="0" fillId="4" borderId="28" xfId="0" applyFont="1" applyFill="1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12" borderId="99" xfId="0" applyFill="1" applyBorder="1" applyAlignment="1">
      <alignment/>
    </xf>
    <xf numFmtId="0" fontId="0" fillId="12" borderId="98" xfId="0" applyFill="1" applyBorder="1" applyAlignment="1">
      <alignment/>
    </xf>
    <xf numFmtId="0" fontId="0" fillId="12" borderId="100" xfId="0" applyFill="1" applyBorder="1" applyAlignment="1">
      <alignment/>
    </xf>
    <xf numFmtId="0" fontId="0" fillId="12" borderId="10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02" xfId="0" applyFont="1" applyBorder="1" applyAlignment="1">
      <alignment horizontal="center" wrapText="1"/>
    </xf>
    <xf numFmtId="0" fontId="1" fillId="0" borderId="103" xfId="0" applyFont="1" applyBorder="1" applyAlignment="1">
      <alignment horizontal="center" wrapText="1"/>
    </xf>
    <xf numFmtId="0" fontId="1" fillId="0" borderId="104" xfId="0" applyFont="1" applyBorder="1" applyAlignment="1">
      <alignment horizontal="center" wrapText="1"/>
    </xf>
    <xf numFmtId="0" fontId="0" fillId="0" borderId="105" xfId="0" applyFill="1" applyBorder="1" applyAlignment="1">
      <alignment horizontal="center"/>
    </xf>
    <xf numFmtId="0" fontId="0" fillId="0" borderId="106" xfId="0" applyBorder="1" applyAlignment="1">
      <alignment/>
    </xf>
    <xf numFmtId="0" fontId="0" fillId="0" borderId="10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Fill="1" applyBorder="1" applyAlignment="1">
      <alignment horizontal="center"/>
    </xf>
    <xf numFmtId="0" fontId="0" fillId="0" borderId="106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13" borderId="51" xfId="0" applyFont="1" applyFill="1" applyBorder="1" applyAlignment="1">
      <alignment horizontal="center" wrapText="1"/>
    </xf>
    <xf numFmtId="0" fontId="1" fillId="13" borderId="52" xfId="0" applyFont="1" applyFill="1" applyBorder="1" applyAlignment="1">
      <alignment horizontal="center" wrapText="1"/>
    </xf>
    <xf numFmtId="0" fontId="1" fillId="13" borderId="53" xfId="0" applyFont="1" applyFill="1" applyBorder="1" applyAlignment="1">
      <alignment horizontal="center" wrapText="1"/>
    </xf>
    <xf numFmtId="0" fontId="1" fillId="13" borderId="0" xfId="0" applyFont="1" applyFill="1" applyAlignment="1">
      <alignment horizontal="center" wrapText="1"/>
    </xf>
    <xf numFmtId="0" fontId="1" fillId="13" borderId="46" xfId="0" applyFont="1" applyFill="1" applyBorder="1" applyAlignment="1">
      <alignment horizontal="center" textRotation="90" wrapText="1"/>
    </xf>
    <xf numFmtId="0" fontId="1" fillId="13" borderId="85" xfId="0" applyFont="1" applyFill="1" applyBorder="1" applyAlignment="1">
      <alignment horizontal="right" wrapText="1"/>
    </xf>
    <xf numFmtId="0" fontId="1" fillId="13" borderId="54" xfId="0" applyFont="1" applyFill="1" applyBorder="1" applyAlignment="1">
      <alignment horizontal="center" wrapText="1"/>
    </xf>
    <xf numFmtId="0" fontId="1" fillId="13" borderId="60" xfId="0" applyFont="1" applyFill="1" applyBorder="1" applyAlignment="1">
      <alignment horizontal="center" wrapText="1"/>
    </xf>
    <xf numFmtId="0" fontId="1" fillId="13" borderId="79" xfId="0" applyFont="1" applyFill="1" applyBorder="1" applyAlignment="1">
      <alignment horizontal="right" wrapText="1"/>
    </xf>
    <xf numFmtId="0" fontId="1" fillId="13" borderId="80" xfId="0" applyFont="1" applyFill="1" applyBorder="1" applyAlignment="1">
      <alignment horizontal="center" wrapText="1"/>
    </xf>
    <xf numFmtId="0" fontId="1" fillId="13" borderId="45" xfId="0" applyFont="1" applyFill="1" applyBorder="1" applyAlignment="1">
      <alignment horizontal="center" wrapText="1"/>
    </xf>
    <xf numFmtId="0" fontId="1" fillId="13" borderId="102" xfId="0" applyFont="1" applyFill="1" applyBorder="1" applyAlignment="1">
      <alignment horizontal="center" wrapText="1"/>
    </xf>
    <xf numFmtId="0" fontId="1" fillId="13" borderId="103" xfId="0" applyFont="1" applyFill="1" applyBorder="1" applyAlignment="1">
      <alignment horizontal="center" wrapText="1"/>
    </xf>
    <xf numFmtId="0" fontId="1" fillId="13" borderId="104" xfId="0" applyFont="1" applyFill="1" applyBorder="1" applyAlignment="1">
      <alignment horizontal="center" wrapText="1"/>
    </xf>
    <xf numFmtId="0" fontId="0" fillId="13" borderId="47" xfId="0" applyFill="1" applyBorder="1" applyAlignment="1">
      <alignment/>
    </xf>
    <xf numFmtId="0" fontId="0" fillId="13" borderId="54" xfId="0" applyFill="1" applyBorder="1" applyAlignment="1">
      <alignment/>
    </xf>
    <xf numFmtId="0" fontId="0" fillId="13" borderId="60" xfId="0" applyFill="1" applyBorder="1" applyAlignment="1">
      <alignment/>
    </xf>
    <xf numFmtId="0" fontId="0" fillId="13" borderId="97" xfId="0" applyFill="1" applyBorder="1" applyAlignment="1">
      <alignment/>
    </xf>
    <xf numFmtId="0" fontId="1" fillId="14" borderId="64" xfId="0" applyFont="1" applyFill="1" applyBorder="1" applyAlignment="1">
      <alignment horizontal="right"/>
    </xf>
    <xf numFmtId="0" fontId="1" fillId="14" borderId="65" xfId="0" applyFont="1" applyFill="1" applyBorder="1" applyAlignment="1">
      <alignment horizontal="left"/>
    </xf>
    <xf numFmtId="0" fontId="1" fillId="14" borderId="66" xfId="0" applyFont="1" applyFill="1" applyBorder="1" applyAlignment="1">
      <alignment horizontal="left"/>
    </xf>
    <xf numFmtId="0" fontId="0" fillId="13" borderId="0" xfId="0" applyFill="1" applyAlignment="1">
      <alignment/>
    </xf>
    <xf numFmtId="0" fontId="1" fillId="13" borderId="88" xfId="0" applyFont="1" applyFill="1" applyBorder="1" applyAlignment="1">
      <alignment/>
    </xf>
    <xf numFmtId="0" fontId="0" fillId="14" borderId="86" xfId="0" applyFill="1" applyBorder="1" applyAlignment="1">
      <alignment horizontal="right"/>
    </xf>
    <xf numFmtId="0" fontId="0" fillId="14" borderId="5" xfId="0" applyFill="1" applyBorder="1" applyAlignment="1">
      <alignment/>
    </xf>
    <xf numFmtId="0" fontId="0" fillId="14" borderId="16" xfId="0" applyFill="1" applyBorder="1" applyAlignment="1">
      <alignment/>
    </xf>
    <xf numFmtId="0" fontId="0" fillId="14" borderId="4" xfId="0" applyFill="1" applyBorder="1" applyAlignment="1">
      <alignment horizontal="right"/>
    </xf>
    <xf numFmtId="0" fontId="0" fillId="14" borderId="6" xfId="0" applyFill="1" applyBorder="1" applyAlignment="1">
      <alignment/>
    </xf>
    <xf numFmtId="0" fontId="0" fillId="14" borderId="82" xfId="0" applyFill="1" applyBorder="1" applyAlignment="1">
      <alignment/>
    </xf>
    <xf numFmtId="0" fontId="0" fillId="13" borderId="105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106" xfId="0" applyFill="1" applyBorder="1" applyAlignment="1">
      <alignment/>
    </xf>
    <xf numFmtId="0" fontId="0" fillId="13" borderId="55" xfId="0" applyFill="1" applyBorder="1" applyAlignment="1">
      <alignment/>
    </xf>
    <xf numFmtId="0" fontId="0" fillId="13" borderId="5" xfId="0" applyFill="1" applyBorder="1" applyAlignment="1">
      <alignment/>
    </xf>
    <xf numFmtId="0" fontId="0" fillId="13" borderId="16" xfId="0" applyFill="1" applyBorder="1" applyAlignment="1">
      <alignment/>
    </xf>
    <xf numFmtId="0" fontId="0" fillId="13" borderId="98" xfId="0" applyFill="1" applyBorder="1" applyAlignment="1">
      <alignment/>
    </xf>
    <xf numFmtId="0" fontId="1" fillId="14" borderId="67" xfId="0" applyFont="1" applyFill="1" applyBorder="1" applyAlignment="1">
      <alignment horizontal="right"/>
    </xf>
    <xf numFmtId="0" fontId="1" fillId="14" borderId="68" xfId="0" applyFont="1" applyFill="1" applyBorder="1" applyAlignment="1">
      <alignment horizontal="left"/>
    </xf>
    <xf numFmtId="0" fontId="1" fillId="14" borderId="69" xfId="0" applyFont="1" applyFill="1" applyBorder="1" applyAlignment="1">
      <alignment horizontal="left"/>
    </xf>
    <xf numFmtId="0" fontId="1" fillId="13" borderId="92" xfId="0" applyFont="1" applyFill="1" applyBorder="1" applyAlignment="1">
      <alignment/>
    </xf>
    <xf numFmtId="0" fontId="0" fillId="14" borderId="93" xfId="0" applyFill="1" applyBorder="1" applyAlignment="1">
      <alignment horizontal="right"/>
    </xf>
    <xf numFmtId="0" fontId="0" fillId="14" borderId="8" xfId="0" applyFill="1" applyBorder="1" applyAlignment="1">
      <alignment/>
    </xf>
    <xf numFmtId="0" fontId="0" fillId="14" borderId="17" xfId="0" applyFill="1" applyBorder="1" applyAlignment="1">
      <alignment/>
    </xf>
    <xf numFmtId="0" fontId="0" fillId="14" borderId="7" xfId="0" applyFill="1" applyBorder="1" applyAlignment="1">
      <alignment horizontal="right"/>
    </xf>
    <xf numFmtId="0" fontId="0" fillId="14" borderId="9" xfId="0" applyFill="1" applyBorder="1" applyAlignment="1">
      <alignment/>
    </xf>
    <xf numFmtId="0" fontId="0" fillId="14" borderId="94" xfId="0" applyFill="1" applyBorder="1" applyAlignment="1">
      <alignment/>
    </xf>
    <xf numFmtId="0" fontId="0" fillId="13" borderId="107" xfId="0" applyFill="1" applyBorder="1" applyAlignment="1">
      <alignment horizontal="center"/>
    </xf>
    <xf numFmtId="0" fontId="0" fillId="13" borderId="59" xfId="0" applyFill="1" applyBorder="1" applyAlignment="1">
      <alignment/>
    </xf>
    <xf numFmtId="0" fontId="0" fillId="13" borderId="2" xfId="0" applyFill="1" applyBorder="1" applyAlignment="1">
      <alignment/>
    </xf>
    <xf numFmtId="0" fontId="0" fillId="13" borderId="61" xfId="0" applyFill="1" applyBorder="1" applyAlignment="1">
      <alignment/>
    </xf>
    <xf numFmtId="0" fontId="0" fillId="13" borderId="99" xfId="0" applyFill="1" applyBorder="1" applyAlignment="1">
      <alignment/>
    </xf>
    <xf numFmtId="0" fontId="1" fillId="14" borderId="70" xfId="0" applyFont="1" applyFill="1" applyBorder="1" applyAlignment="1">
      <alignment horizontal="right"/>
    </xf>
    <xf numFmtId="0" fontId="1" fillId="14" borderId="71" xfId="0" applyFont="1" applyFill="1" applyBorder="1" applyAlignment="1">
      <alignment horizontal="left"/>
    </xf>
    <xf numFmtId="0" fontId="1" fillId="14" borderId="72" xfId="0" applyFont="1" applyFill="1" applyBorder="1" applyAlignment="1">
      <alignment horizontal="left"/>
    </xf>
    <xf numFmtId="0" fontId="1" fillId="13" borderId="89" xfId="0" applyFont="1" applyFill="1" applyBorder="1" applyAlignment="1">
      <alignment/>
    </xf>
    <xf numFmtId="0" fontId="0" fillId="14" borderId="90" xfId="0" applyFill="1" applyBorder="1" applyAlignment="1">
      <alignment horizontal="right"/>
    </xf>
    <xf numFmtId="0" fontId="0" fillId="14" borderId="14" xfId="0" applyFill="1" applyBorder="1" applyAlignment="1">
      <alignment/>
    </xf>
    <xf numFmtId="0" fontId="0" fillId="14" borderId="81" xfId="0" applyFill="1" applyBorder="1" applyAlignment="1">
      <alignment/>
    </xf>
    <xf numFmtId="0" fontId="0" fillId="14" borderId="13" xfId="0" applyFill="1" applyBorder="1" applyAlignment="1">
      <alignment horizontal="right"/>
    </xf>
    <xf numFmtId="0" fontId="0" fillId="14" borderId="15" xfId="0" applyFill="1" applyBorder="1" applyAlignment="1">
      <alignment/>
    </xf>
    <xf numFmtId="0" fontId="0" fillId="14" borderId="91" xfId="0" applyFill="1" applyBorder="1" applyAlignment="1">
      <alignment/>
    </xf>
    <xf numFmtId="0" fontId="0" fillId="13" borderId="13" xfId="0" applyFill="1" applyBorder="1" applyAlignment="1">
      <alignment horizontal="center"/>
    </xf>
    <xf numFmtId="0" fontId="1" fillId="15" borderId="70" xfId="0" applyFont="1" applyFill="1" applyBorder="1" applyAlignment="1">
      <alignment horizontal="right"/>
    </xf>
    <xf numFmtId="0" fontId="1" fillId="15" borderId="71" xfId="0" applyFont="1" applyFill="1" applyBorder="1" applyAlignment="1">
      <alignment horizontal="left"/>
    </xf>
    <xf numFmtId="0" fontId="1" fillId="15" borderId="72" xfId="0" applyFont="1" applyFill="1" applyBorder="1" applyAlignment="1">
      <alignment horizontal="left"/>
    </xf>
    <xf numFmtId="0" fontId="0" fillId="15" borderId="59" xfId="0" applyFill="1" applyBorder="1" applyAlignment="1">
      <alignment horizontal="right"/>
    </xf>
    <xf numFmtId="0" fontId="0" fillId="15" borderId="2" xfId="0" applyFill="1" applyBorder="1" applyAlignment="1">
      <alignment/>
    </xf>
    <xf numFmtId="0" fontId="0" fillId="15" borderId="61" xfId="0" applyFill="1" applyBorder="1" applyAlignment="1">
      <alignment/>
    </xf>
    <xf numFmtId="0" fontId="0" fillId="15" borderId="1" xfId="0" applyFill="1" applyBorder="1" applyAlignment="1">
      <alignment horizontal="right"/>
    </xf>
    <xf numFmtId="0" fontId="0" fillId="15" borderId="3" xfId="0" applyFill="1" applyBorder="1" applyAlignment="1">
      <alignment/>
    </xf>
    <xf numFmtId="0" fontId="0" fillId="15" borderId="95" xfId="0" applyFill="1" applyBorder="1" applyAlignment="1">
      <alignment/>
    </xf>
    <xf numFmtId="0" fontId="1" fillId="15" borderId="67" xfId="0" applyFont="1" applyFill="1" applyBorder="1" applyAlignment="1">
      <alignment horizontal="right"/>
    </xf>
    <xf numFmtId="0" fontId="1" fillId="15" borderId="68" xfId="0" applyFont="1" applyFill="1" applyBorder="1" applyAlignment="1">
      <alignment horizontal="left"/>
    </xf>
    <xf numFmtId="0" fontId="1" fillId="15" borderId="69" xfId="0" applyFont="1" applyFill="1" applyBorder="1" applyAlignment="1">
      <alignment horizontal="left"/>
    </xf>
    <xf numFmtId="0" fontId="0" fillId="15" borderId="55" xfId="0" applyFill="1" applyBorder="1" applyAlignment="1">
      <alignment horizontal="right"/>
    </xf>
    <xf numFmtId="0" fontId="0" fillId="15" borderId="5" xfId="0" applyFill="1" applyBorder="1" applyAlignment="1">
      <alignment/>
    </xf>
    <xf numFmtId="0" fontId="0" fillId="15" borderId="16" xfId="0" applyFill="1" applyBorder="1" applyAlignment="1">
      <alignment/>
    </xf>
    <xf numFmtId="0" fontId="0" fillId="15" borderId="4" xfId="0" applyFill="1" applyBorder="1" applyAlignment="1">
      <alignment horizontal="right"/>
    </xf>
    <xf numFmtId="0" fontId="0" fillId="15" borderId="6" xfId="0" applyFill="1" applyBorder="1" applyAlignment="1">
      <alignment/>
    </xf>
    <xf numFmtId="0" fontId="0" fillId="15" borderId="82" xfId="0" applyFill="1" applyBorder="1" applyAlignment="1">
      <alignment/>
    </xf>
    <xf numFmtId="0" fontId="0" fillId="15" borderId="96" xfId="0" applyFill="1" applyBorder="1" applyAlignment="1">
      <alignment horizontal="right"/>
    </xf>
    <xf numFmtId="0" fontId="0" fillId="15" borderId="8" xfId="0" applyFill="1" applyBorder="1" applyAlignment="1">
      <alignment/>
    </xf>
    <xf numFmtId="0" fontId="0" fillId="15" borderId="17" xfId="0" applyFill="1" applyBorder="1" applyAlignment="1">
      <alignment/>
    </xf>
    <xf numFmtId="0" fontId="0" fillId="15" borderId="7" xfId="0" applyFill="1" applyBorder="1" applyAlignment="1">
      <alignment horizontal="right"/>
    </xf>
    <xf numFmtId="0" fontId="0" fillId="15" borderId="9" xfId="0" applyFill="1" applyBorder="1" applyAlignment="1">
      <alignment/>
    </xf>
    <xf numFmtId="0" fontId="0" fillId="15" borderId="94" xfId="0" applyFill="1" applyBorder="1" applyAlignment="1">
      <alignment/>
    </xf>
    <xf numFmtId="0" fontId="1" fillId="16" borderId="67" xfId="0" applyFont="1" applyFill="1" applyBorder="1" applyAlignment="1">
      <alignment horizontal="right"/>
    </xf>
    <xf numFmtId="0" fontId="1" fillId="16" borderId="68" xfId="0" applyFont="1" applyFill="1" applyBorder="1" applyAlignment="1">
      <alignment horizontal="left"/>
    </xf>
    <xf numFmtId="0" fontId="0" fillId="16" borderId="7" xfId="0" applyFill="1" applyBorder="1" applyAlignment="1">
      <alignment horizontal="right"/>
    </xf>
    <xf numFmtId="0" fontId="0" fillId="16" borderId="8" xfId="0" applyFill="1" applyBorder="1" applyAlignment="1">
      <alignment/>
    </xf>
    <xf numFmtId="0" fontId="0" fillId="16" borderId="9" xfId="0" applyFill="1" applyBorder="1" applyAlignment="1">
      <alignment/>
    </xf>
    <xf numFmtId="0" fontId="1" fillId="16" borderId="70" xfId="0" applyFont="1" applyFill="1" applyBorder="1" applyAlignment="1">
      <alignment horizontal="right"/>
    </xf>
    <xf numFmtId="0" fontId="1" fillId="16" borderId="71" xfId="0" applyFont="1" applyFill="1" applyBorder="1" applyAlignment="1">
      <alignment horizontal="left"/>
    </xf>
    <xf numFmtId="0" fontId="1" fillId="16" borderId="72" xfId="0" applyFont="1" applyFill="1" applyBorder="1" applyAlignment="1">
      <alignment horizontal="left"/>
    </xf>
    <xf numFmtId="0" fontId="0" fillId="16" borderId="59" xfId="0" applyFill="1" applyBorder="1" applyAlignment="1">
      <alignment horizontal="right"/>
    </xf>
    <xf numFmtId="0" fontId="0" fillId="16" borderId="2" xfId="0" applyFill="1" applyBorder="1" applyAlignment="1">
      <alignment/>
    </xf>
    <xf numFmtId="0" fontId="0" fillId="16" borderId="61" xfId="0" applyFill="1" applyBorder="1" applyAlignment="1">
      <alignment/>
    </xf>
    <xf numFmtId="0" fontId="0" fillId="16" borderId="1" xfId="0" applyFill="1" applyBorder="1" applyAlignment="1">
      <alignment horizontal="right"/>
    </xf>
    <xf numFmtId="0" fontId="0" fillId="16" borderId="3" xfId="0" applyFill="1" applyBorder="1" applyAlignment="1">
      <alignment/>
    </xf>
    <xf numFmtId="0" fontId="0" fillId="16" borderId="95" xfId="0" applyFill="1" applyBorder="1" applyAlignment="1">
      <alignment/>
    </xf>
    <xf numFmtId="0" fontId="1" fillId="16" borderId="69" xfId="0" applyFont="1" applyFill="1" applyBorder="1" applyAlignment="1">
      <alignment horizontal="left"/>
    </xf>
    <xf numFmtId="0" fontId="0" fillId="16" borderId="55" xfId="0" applyFill="1" applyBorder="1" applyAlignment="1">
      <alignment horizontal="right"/>
    </xf>
    <xf numFmtId="0" fontId="0" fillId="16" borderId="5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4" xfId="0" applyFill="1" applyBorder="1" applyAlignment="1">
      <alignment horizontal="right"/>
    </xf>
    <xf numFmtId="0" fontId="0" fillId="16" borderId="6" xfId="0" applyFill="1" applyBorder="1" applyAlignment="1">
      <alignment/>
    </xf>
    <xf numFmtId="0" fontId="0" fillId="16" borderId="82" xfId="0" applyFill="1" applyBorder="1" applyAlignment="1">
      <alignment/>
    </xf>
    <xf numFmtId="0" fontId="0" fillId="16" borderId="96" xfId="0" applyFill="1" applyBorder="1" applyAlignment="1">
      <alignment horizontal="right"/>
    </xf>
    <xf numFmtId="0" fontId="0" fillId="16" borderId="17" xfId="0" applyFill="1" applyBorder="1" applyAlignment="1">
      <alignment/>
    </xf>
    <xf numFmtId="0" fontId="0" fillId="16" borderId="94" xfId="0" applyFill="1" applyBorder="1" applyAlignment="1">
      <alignment/>
    </xf>
    <xf numFmtId="0" fontId="0" fillId="13" borderId="111" xfId="0" applyFill="1" applyBorder="1" applyAlignment="1">
      <alignment horizontal="center"/>
    </xf>
    <xf numFmtId="0" fontId="1" fillId="17" borderId="67" xfId="0" applyFont="1" applyFill="1" applyBorder="1" applyAlignment="1">
      <alignment horizontal="right"/>
    </xf>
    <xf numFmtId="0" fontId="1" fillId="17" borderId="68" xfId="0" applyFont="1" applyFill="1" applyBorder="1" applyAlignment="1">
      <alignment horizontal="left"/>
    </xf>
    <xf numFmtId="0" fontId="1" fillId="17" borderId="69" xfId="0" applyFont="1" applyFill="1" applyBorder="1" applyAlignment="1">
      <alignment horizontal="left"/>
    </xf>
    <xf numFmtId="0" fontId="0" fillId="17" borderId="96" xfId="0" applyFill="1" applyBorder="1" applyAlignment="1">
      <alignment horizontal="right"/>
    </xf>
    <xf numFmtId="0" fontId="0" fillId="17" borderId="8" xfId="0" applyFill="1" applyBorder="1" applyAlignment="1">
      <alignment/>
    </xf>
    <xf numFmtId="0" fontId="0" fillId="17" borderId="17" xfId="0" applyFill="1" applyBorder="1" applyAlignment="1">
      <alignment/>
    </xf>
    <xf numFmtId="0" fontId="0" fillId="17" borderId="7" xfId="0" applyFill="1" applyBorder="1" applyAlignment="1">
      <alignment horizontal="right"/>
    </xf>
    <xf numFmtId="0" fontId="0" fillId="17" borderId="94" xfId="0" applyFill="1" applyBorder="1" applyAlignment="1">
      <alignment/>
    </xf>
    <xf numFmtId="0" fontId="1" fillId="17" borderId="70" xfId="0" applyFont="1" applyFill="1" applyBorder="1" applyAlignment="1">
      <alignment horizontal="right"/>
    </xf>
    <xf numFmtId="0" fontId="1" fillId="17" borderId="71" xfId="0" applyFont="1" applyFill="1" applyBorder="1" applyAlignment="1">
      <alignment horizontal="left"/>
    </xf>
    <xf numFmtId="0" fontId="1" fillId="17" borderId="72" xfId="0" applyFont="1" applyFill="1" applyBorder="1" applyAlignment="1">
      <alignment horizontal="left"/>
    </xf>
    <xf numFmtId="0" fontId="0" fillId="17" borderId="59" xfId="0" applyFill="1" applyBorder="1" applyAlignment="1">
      <alignment horizontal="right"/>
    </xf>
    <xf numFmtId="0" fontId="0" fillId="17" borderId="2" xfId="0" applyFill="1" applyBorder="1" applyAlignment="1">
      <alignment/>
    </xf>
    <xf numFmtId="0" fontId="0" fillId="17" borderId="61" xfId="0" applyFill="1" applyBorder="1" applyAlignment="1">
      <alignment/>
    </xf>
    <xf numFmtId="0" fontId="0" fillId="17" borderId="1" xfId="0" applyFill="1" applyBorder="1" applyAlignment="1">
      <alignment horizontal="right"/>
    </xf>
    <xf numFmtId="0" fontId="0" fillId="17" borderId="3" xfId="0" applyFill="1" applyBorder="1" applyAlignment="1">
      <alignment/>
    </xf>
    <xf numFmtId="0" fontId="0" fillId="17" borderId="95" xfId="0" applyFill="1" applyBorder="1" applyAlignment="1">
      <alignment/>
    </xf>
    <xf numFmtId="0" fontId="0" fillId="17" borderId="9" xfId="0" applyFill="1" applyBorder="1" applyAlignment="1">
      <alignment/>
    </xf>
    <xf numFmtId="0" fontId="1" fillId="18" borderId="70" xfId="0" applyFont="1" applyFill="1" applyBorder="1" applyAlignment="1">
      <alignment horizontal="right"/>
    </xf>
    <xf numFmtId="0" fontId="1" fillId="18" borderId="71" xfId="0" applyFont="1" applyFill="1" applyBorder="1" applyAlignment="1">
      <alignment horizontal="left"/>
    </xf>
    <xf numFmtId="0" fontId="1" fillId="18" borderId="72" xfId="0" applyFont="1" applyFill="1" applyBorder="1" applyAlignment="1">
      <alignment horizontal="left"/>
    </xf>
    <xf numFmtId="0" fontId="0" fillId="18" borderId="59" xfId="0" applyFill="1" applyBorder="1" applyAlignment="1">
      <alignment horizontal="right"/>
    </xf>
    <xf numFmtId="0" fontId="0" fillId="18" borderId="2" xfId="0" applyFill="1" applyBorder="1" applyAlignment="1">
      <alignment/>
    </xf>
    <xf numFmtId="0" fontId="0" fillId="18" borderId="61" xfId="0" applyFill="1" applyBorder="1" applyAlignment="1">
      <alignment/>
    </xf>
    <xf numFmtId="0" fontId="0" fillId="18" borderId="1" xfId="0" applyFill="1" applyBorder="1" applyAlignment="1">
      <alignment horizontal="right"/>
    </xf>
    <xf numFmtId="0" fontId="0" fillId="18" borderId="3" xfId="0" applyFill="1" applyBorder="1" applyAlignment="1">
      <alignment/>
    </xf>
    <xf numFmtId="0" fontId="0" fillId="18" borderId="95" xfId="0" applyFill="1" applyBorder="1" applyAlignment="1">
      <alignment/>
    </xf>
    <xf numFmtId="0" fontId="0" fillId="13" borderId="57" xfId="0" applyFill="1" applyBorder="1" applyAlignment="1">
      <alignment/>
    </xf>
    <xf numFmtId="0" fontId="0" fillId="13" borderId="58" xfId="0" applyFill="1" applyBorder="1" applyAlignment="1">
      <alignment/>
    </xf>
    <xf numFmtId="0" fontId="0" fillId="13" borderId="62" xfId="0" applyFill="1" applyBorder="1" applyAlignment="1">
      <alignment/>
    </xf>
    <xf numFmtId="0" fontId="0" fillId="13" borderId="100" xfId="0" applyFill="1" applyBorder="1" applyAlignment="1">
      <alignment/>
    </xf>
    <xf numFmtId="0" fontId="1" fillId="18" borderId="73" xfId="0" applyFont="1" applyFill="1" applyBorder="1" applyAlignment="1">
      <alignment horizontal="right"/>
    </xf>
    <xf numFmtId="0" fontId="1" fillId="18" borderId="74" xfId="0" applyFont="1" applyFill="1" applyBorder="1" applyAlignment="1">
      <alignment horizontal="left"/>
    </xf>
    <xf numFmtId="0" fontId="1" fillId="18" borderId="75" xfId="0" applyFont="1" applyFill="1" applyBorder="1" applyAlignment="1">
      <alignment horizontal="left"/>
    </xf>
    <xf numFmtId="0" fontId="0" fillId="18" borderId="96" xfId="0" applyFill="1" applyBorder="1" applyAlignment="1">
      <alignment horizontal="right"/>
    </xf>
    <xf numFmtId="0" fontId="0" fillId="18" borderId="8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7" xfId="0" applyFill="1" applyBorder="1" applyAlignment="1">
      <alignment horizontal="right"/>
    </xf>
    <xf numFmtId="0" fontId="0" fillId="18" borderId="9" xfId="0" applyFill="1" applyBorder="1" applyAlignment="1">
      <alignment/>
    </xf>
    <xf numFmtId="0" fontId="0" fillId="18" borderId="94" xfId="0" applyFill="1" applyBorder="1" applyAlignment="1">
      <alignment/>
    </xf>
    <xf numFmtId="0" fontId="0" fillId="13" borderId="0" xfId="0" applyFill="1" applyAlignment="1">
      <alignment horizontal="center"/>
    </xf>
    <xf numFmtId="0" fontId="1" fillId="19" borderId="70" xfId="0" applyFont="1" applyFill="1" applyBorder="1" applyAlignment="1">
      <alignment horizontal="right"/>
    </xf>
    <xf numFmtId="0" fontId="1" fillId="19" borderId="71" xfId="0" applyFont="1" applyFill="1" applyBorder="1" applyAlignment="1">
      <alignment horizontal="left"/>
    </xf>
    <xf numFmtId="0" fontId="1" fillId="19" borderId="72" xfId="0" applyFont="1" applyFill="1" applyBorder="1" applyAlignment="1">
      <alignment horizontal="left"/>
    </xf>
    <xf numFmtId="0" fontId="0" fillId="19" borderId="90" xfId="0" applyFont="1" applyFill="1" applyBorder="1" applyAlignment="1">
      <alignment horizontal="right"/>
    </xf>
    <xf numFmtId="0" fontId="0" fillId="19" borderId="14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3" xfId="0" applyFont="1" applyFill="1" applyBorder="1" applyAlignment="1">
      <alignment horizontal="right"/>
    </xf>
    <xf numFmtId="0" fontId="0" fillId="19" borderId="91" xfId="0" applyFont="1" applyFill="1" applyBorder="1" applyAlignment="1">
      <alignment/>
    </xf>
    <xf numFmtId="0" fontId="0" fillId="13" borderId="50" xfId="0" applyFill="1" applyBorder="1" applyAlignment="1">
      <alignment/>
    </xf>
    <xf numFmtId="0" fontId="0" fillId="13" borderId="56" xfId="0" applyFill="1" applyBorder="1" applyAlignment="1">
      <alignment/>
    </xf>
    <xf numFmtId="0" fontId="0" fillId="13" borderId="63" xfId="0" applyFill="1" applyBorder="1" applyAlignment="1">
      <alignment/>
    </xf>
    <xf numFmtId="0" fontId="0" fillId="13" borderId="101" xfId="0" applyFill="1" applyBorder="1" applyAlignment="1">
      <alignment/>
    </xf>
    <xf numFmtId="0" fontId="1" fillId="19" borderId="76" xfId="0" applyFont="1" applyFill="1" applyBorder="1" applyAlignment="1">
      <alignment horizontal="right"/>
    </xf>
    <xf numFmtId="0" fontId="1" fillId="19" borderId="77" xfId="0" applyFont="1" applyFill="1" applyBorder="1" applyAlignment="1">
      <alignment horizontal="left"/>
    </xf>
    <xf numFmtId="0" fontId="1" fillId="19" borderId="78" xfId="0" applyFont="1" applyFill="1" applyBorder="1" applyAlignment="1">
      <alignment horizontal="left"/>
    </xf>
    <xf numFmtId="0" fontId="1" fillId="13" borderId="49" xfId="0" applyFont="1" applyFill="1" applyBorder="1" applyAlignment="1">
      <alignment/>
    </xf>
    <xf numFmtId="0" fontId="0" fillId="19" borderId="87" xfId="0" applyFont="1" applyFill="1" applyBorder="1" applyAlignment="1">
      <alignment horizontal="right"/>
    </xf>
    <xf numFmtId="0" fontId="0" fillId="19" borderId="56" xfId="0" applyFont="1" applyFill="1" applyBorder="1" applyAlignment="1">
      <alignment/>
    </xf>
    <xf numFmtId="0" fontId="0" fillId="19" borderId="63" xfId="0" applyFont="1" applyFill="1" applyBorder="1" applyAlignment="1">
      <alignment/>
    </xf>
    <xf numFmtId="0" fontId="0" fillId="19" borderId="83" xfId="0" applyFont="1" applyFill="1" applyBorder="1" applyAlignment="1">
      <alignment horizontal="right"/>
    </xf>
    <xf numFmtId="0" fontId="0" fillId="19" borderId="84" xfId="0" applyFont="1" applyFill="1" applyBorder="1" applyAlignment="1">
      <alignment/>
    </xf>
    <xf numFmtId="0" fontId="0" fillId="19" borderId="48" xfId="0" applyFont="1" applyFill="1" applyBorder="1" applyAlignment="1">
      <alignment/>
    </xf>
    <xf numFmtId="0" fontId="1" fillId="13" borderId="0" xfId="0" applyFont="1" applyFill="1" applyAlignment="1">
      <alignment horizontal="left"/>
    </xf>
    <xf numFmtId="0" fontId="1" fillId="13" borderId="0" xfId="0" applyFont="1" applyFill="1" applyAlignment="1">
      <alignment horizontal="right"/>
    </xf>
    <xf numFmtId="0" fontId="0" fillId="13" borderId="0" xfId="0" applyFill="1" applyAlignment="1">
      <alignment horizontal="right"/>
    </xf>
    <xf numFmtId="0" fontId="0" fillId="13" borderId="108" xfId="0" applyFill="1" applyBorder="1" applyAlignment="1">
      <alignment/>
    </xf>
    <xf numFmtId="0" fontId="0" fillId="13" borderId="109" xfId="0" applyFill="1" applyBorder="1" applyAlignment="1">
      <alignment/>
    </xf>
    <xf numFmtId="0" fontId="0" fillId="13" borderId="110" xfId="0" applyFill="1" applyBorder="1" applyAlignment="1">
      <alignment/>
    </xf>
    <xf numFmtId="0" fontId="0" fillId="13" borderId="0" xfId="0" applyFill="1" applyBorder="1" applyAlignment="1">
      <alignment/>
    </xf>
    <xf numFmtId="174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0" fontId="0" fillId="20" borderId="0" xfId="0" applyFill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Production table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'Production table'!$L$6:$L$94</c:f>
              <c:numCache>
                <c:ptCount val="89"/>
                <c:pt idx="0">
                  <c:v>1240</c:v>
                </c:pt>
                <c:pt idx="4">
                  <c:v>1296</c:v>
                </c:pt>
                <c:pt idx="8">
                  <c:v>1385</c:v>
                </c:pt>
                <c:pt idx="12">
                  <c:v>1441</c:v>
                </c:pt>
                <c:pt idx="16">
                  <c:v>1768</c:v>
                </c:pt>
                <c:pt idx="20">
                  <c:v>1824</c:v>
                </c:pt>
                <c:pt idx="24">
                  <c:v>2051</c:v>
                </c:pt>
                <c:pt idx="28">
                  <c:v>2107</c:v>
                </c:pt>
                <c:pt idx="32">
                  <c:v>2163</c:v>
                </c:pt>
                <c:pt idx="36">
                  <c:v>2412</c:v>
                </c:pt>
                <c:pt idx="39">
                  <c:v>2452</c:v>
                </c:pt>
                <c:pt idx="42">
                  <c:v>2483</c:v>
                </c:pt>
                <c:pt idx="45">
                  <c:v>2503</c:v>
                </c:pt>
                <c:pt idx="48">
                  <c:v>2524</c:v>
                </c:pt>
                <c:pt idx="52">
                  <c:v>2559</c:v>
                </c:pt>
                <c:pt idx="56">
                  <c:v>2615</c:v>
                </c:pt>
                <c:pt idx="60">
                  <c:v>2705</c:v>
                </c:pt>
                <c:pt idx="64">
                  <c:v>2761</c:v>
                </c:pt>
                <c:pt idx="68">
                  <c:v>2817</c:v>
                </c:pt>
                <c:pt idx="72">
                  <c:v>2860</c:v>
                </c:pt>
                <c:pt idx="76">
                  <c:v>2916</c:v>
                </c:pt>
                <c:pt idx="81">
                  <c:v>2952</c:v>
                </c:pt>
                <c:pt idx="84">
                  <c:v>2972</c:v>
                </c:pt>
                <c:pt idx="88">
                  <c:v>3010</c:v>
                </c:pt>
              </c:numCache>
            </c:numRef>
          </c:xVal>
          <c:yVal>
            <c:numRef>
              <c:f>'Production table'!$J$6:$J$94</c:f>
              <c:numCache>
                <c:ptCount val="89"/>
                <c:pt idx="0">
                  <c:v>80</c:v>
                </c:pt>
                <c:pt idx="4">
                  <c:v>24</c:v>
                </c:pt>
                <c:pt idx="8">
                  <c:v>96</c:v>
                </c:pt>
                <c:pt idx="12">
                  <c:v>88</c:v>
                </c:pt>
                <c:pt idx="16">
                  <c:v>96</c:v>
                </c:pt>
                <c:pt idx="20">
                  <c:v>88</c:v>
                </c:pt>
                <c:pt idx="24">
                  <c:v>72</c:v>
                </c:pt>
                <c:pt idx="28">
                  <c:v>96</c:v>
                </c:pt>
                <c:pt idx="32">
                  <c:v>96</c:v>
                </c:pt>
                <c:pt idx="36">
                  <c:v>72</c:v>
                </c:pt>
                <c:pt idx="39">
                  <c:v>72</c:v>
                </c:pt>
                <c:pt idx="42">
                  <c:v>56</c:v>
                </c:pt>
                <c:pt idx="45">
                  <c:v>64</c:v>
                </c:pt>
                <c:pt idx="48">
                  <c:v>72</c:v>
                </c:pt>
                <c:pt idx="52">
                  <c:v>96</c:v>
                </c:pt>
                <c:pt idx="56">
                  <c:v>96</c:v>
                </c:pt>
                <c:pt idx="60">
                  <c:v>72</c:v>
                </c:pt>
                <c:pt idx="64">
                  <c:v>96</c:v>
                </c:pt>
                <c:pt idx="68">
                  <c:v>96</c:v>
                </c:pt>
                <c:pt idx="72">
                  <c:v>72</c:v>
                </c:pt>
                <c:pt idx="76">
                  <c:v>96</c:v>
                </c:pt>
                <c:pt idx="81">
                  <c:v>120</c:v>
                </c:pt>
                <c:pt idx="84">
                  <c:v>72</c:v>
                </c:pt>
                <c:pt idx="88">
                  <c:v>88</c:v>
                </c:pt>
              </c:numCache>
            </c:numRef>
          </c:yVal>
          <c:smooth val="0"/>
        </c:ser>
        <c:axId val="23108936"/>
        <c:axId val="6653833"/>
      </c:scatterChart>
      <c:valAx>
        <c:axId val="23108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6653833"/>
        <c:crosses val="autoZero"/>
        <c:crossBetween val="midCat"/>
        <c:dispUnits/>
      </c:valAx>
      <c:valAx>
        <c:axId val="6653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tapes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089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152400</xdr:rowOff>
    </xdr:from>
    <xdr:to>
      <xdr:col>10</xdr:col>
      <xdr:colOff>409575</xdr:colOff>
      <xdr:row>119</xdr:row>
      <xdr:rowOff>104775</xdr:rowOff>
    </xdr:to>
    <xdr:graphicFrame>
      <xdr:nvGraphicFramePr>
        <xdr:cNvPr id="1" name="Chart 2"/>
        <xdr:cNvGraphicFramePr/>
      </xdr:nvGraphicFramePr>
      <xdr:xfrm>
        <a:off x="609600" y="15563850"/>
        <a:ext cx="58959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4">
      <selection activeCell="B20" sqref="B20"/>
    </sheetView>
  </sheetViews>
  <sheetFormatPr defaultColWidth="9.140625" defaultRowHeight="12.75"/>
  <cols>
    <col min="1" max="1" width="31.28125" style="1" customWidth="1"/>
    <col min="2" max="2" width="10.140625" style="0" bestFit="1" customWidth="1"/>
    <col min="3" max="3" width="10.28125" style="0" customWidth="1"/>
  </cols>
  <sheetData>
    <row r="1" ht="15.75">
      <c r="A1" s="116" t="s">
        <v>121</v>
      </c>
    </row>
    <row r="2" s="115" customFormat="1" ht="38.25">
      <c r="A2" s="117" t="s">
        <v>125</v>
      </c>
    </row>
    <row r="3" ht="12.75">
      <c r="A3" s="117" t="s">
        <v>227</v>
      </c>
    </row>
    <row r="5" ht="12.75">
      <c r="A5" s="117" t="s">
        <v>114</v>
      </c>
    </row>
    <row r="6" ht="12.75">
      <c r="A6" s="1" t="s">
        <v>115</v>
      </c>
    </row>
    <row r="7" ht="12.75">
      <c r="A7" s="1" t="s">
        <v>116</v>
      </c>
    </row>
    <row r="8" ht="12.75">
      <c r="A8" s="1" t="s">
        <v>152</v>
      </c>
    </row>
    <row r="10" ht="12.75">
      <c r="A10" s="117" t="s">
        <v>117</v>
      </c>
    </row>
    <row r="11" ht="12.75">
      <c r="A11" s="1" t="s">
        <v>118</v>
      </c>
    </row>
    <row r="13" ht="12.75">
      <c r="A13" s="1" t="s">
        <v>119</v>
      </c>
    </row>
    <row r="16" spans="1:3" ht="12.75">
      <c r="A16" s="131" t="s">
        <v>153</v>
      </c>
      <c r="B16" s="115" t="s">
        <v>111</v>
      </c>
      <c r="C16" s="115" t="s">
        <v>113</v>
      </c>
    </row>
    <row r="17" spans="1:3" s="322" customFormat="1" ht="12.75">
      <c r="A17" s="321" t="s">
        <v>228</v>
      </c>
      <c r="B17" s="323">
        <v>38126</v>
      </c>
      <c r="C17" s="322" t="s">
        <v>229</v>
      </c>
    </row>
    <row r="18" spans="1:3" s="322" customFormat="1" ht="12.75">
      <c r="A18" s="321"/>
      <c r="B18" s="323"/>
      <c r="C18" s="322" t="s">
        <v>230</v>
      </c>
    </row>
    <row r="19" spans="1:3" ht="12.75">
      <c r="A19" s="130">
        <v>2</v>
      </c>
      <c r="B19" s="113">
        <v>38103</v>
      </c>
      <c r="C19" t="s">
        <v>143</v>
      </c>
    </row>
    <row r="20" spans="1:3" ht="12.75">
      <c r="A20" s="131"/>
      <c r="B20" s="115"/>
      <c r="C20" t="s">
        <v>141</v>
      </c>
    </row>
    <row r="21" spans="1:3" ht="12.75">
      <c r="A21" s="131"/>
      <c r="B21" s="115"/>
      <c r="C21" t="s">
        <v>142</v>
      </c>
    </row>
    <row r="22" spans="1:3" ht="12.75">
      <c r="A22" s="131"/>
      <c r="B22" s="115"/>
      <c r="C22" s="115"/>
    </row>
    <row r="23" spans="1:3" ht="12.75">
      <c r="A23" s="130" t="s">
        <v>133</v>
      </c>
      <c r="B23" s="113">
        <v>37817</v>
      </c>
      <c r="C23" s="114" t="s">
        <v>134</v>
      </c>
    </row>
    <row r="24" spans="1:3" ht="12.75">
      <c r="A24" s="132" t="s">
        <v>132</v>
      </c>
      <c r="B24" s="113">
        <v>37816</v>
      </c>
      <c r="C24" s="114" t="s">
        <v>112</v>
      </c>
    </row>
    <row r="25" spans="1:3" ht="12.75">
      <c r="A25"/>
      <c r="C25" t="s">
        <v>120</v>
      </c>
    </row>
    <row r="26" spans="1:3" ht="12.75">
      <c r="A26"/>
      <c r="C26" t="s">
        <v>122</v>
      </c>
    </row>
    <row r="27" spans="1:3" ht="12.75">
      <c r="A27"/>
      <c r="C27" s="114" t="s">
        <v>123</v>
      </c>
    </row>
    <row r="32" ht="51">
      <c r="A32" s="1" t="s">
        <v>124</v>
      </c>
    </row>
    <row r="34" ht="12.75">
      <c r="A34" s="1" t="s">
        <v>148</v>
      </c>
    </row>
    <row r="35" ht="12.75">
      <c r="A35" s="129" t="s">
        <v>149</v>
      </c>
    </row>
    <row r="36" ht="12.75">
      <c r="A36" s="129" t="s">
        <v>150</v>
      </c>
    </row>
    <row r="37" ht="12.75">
      <c r="A37" s="129" t="s">
        <v>151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5"/>
  <sheetViews>
    <sheetView tabSelected="1" workbookViewId="0" topLeftCell="G46">
      <selection activeCell="R76" sqref="R76"/>
    </sheetView>
  </sheetViews>
  <sheetFormatPr defaultColWidth="9.140625" defaultRowHeight="12.75"/>
  <cols>
    <col min="10" max="10" width="9.140625" style="94" customWidth="1"/>
    <col min="13" max="13" width="9.140625" style="94" customWidth="1"/>
  </cols>
  <sheetData>
    <row r="1" spans="1:17" ht="12.75">
      <c r="A1" s="95"/>
      <c r="B1" s="95"/>
      <c r="C1" s="95"/>
      <c r="D1" s="95"/>
      <c r="E1" s="95" t="s">
        <v>19</v>
      </c>
      <c r="F1" s="95" t="s">
        <v>96</v>
      </c>
      <c r="G1" s="95" t="s">
        <v>97</v>
      </c>
      <c r="H1" s="95" t="s">
        <v>98</v>
      </c>
      <c r="I1" s="95" t="s">
        <v>99</v>
      </c>
      <c r="J1" s="96" t="s">
        <v>100</v>
      </c>
      <c r="K1" s="105" t="s">
        <v>102</v>
      </c>
      <c r="L1" s="105" t="s">
        <v>104</v>
      </c>
      <c r="M1" s="106" t="s">
        <v>105</v>
      </c>
      <c r="N1" s="95"/>
      <c r="O1" s="95" t="s">
        <v>215</v>
      </c>
      <c r="P1" s="95" t="s">
        <v>108</v>
      </c>
      <c r="Q1" s="506" t="s">
        <v>235</v>
      </c>
    </row>
    <row r="2" spans="1:21" ht="13.5" thickBot="1">
      <c r="A2" s="95"/>
      <c r="B2" s="95"/>
      <c r="C2" s="95"/>
      <c r="D2" s="95"/>
      <c r="E2" s="95" t="s">
        <v>103</v>
      </c>
      <c r="F2" s="95"/>
      <c r="G2" s="95"/>
      <c r="H2" s="95" t="s">
        <v>103</v>
      </c>
      <c r="I2" s="95" t="s">
        <v>103</v>
      </c>
      <c r="J2" s="96"/>
      <c r="K2" s="107"/>
      <c r="L2" s="107" t="s">
        <v>103</v>
      </c>
      <c r="M2" s="108" t="s">
        <v>106</v>
      </c>
      <c r="N2" s="95"/>
      <c r="O2" s="95" t="s">
        <v>107</v>
      </c>
      <c r="P2" s="95" t="s">
        <v>109</v>
      </c>
      <c r="Q2" t="s">
        <v>28</v>
      </c>
      <c r="R2" t="s">
        <v>66</v>
      </c>
      <c r="S2" t="s">
        <v>94</v>
      </c>
      <c r="T2" t="s">
        <v>233</v>
      </c>
      <c r="U2" t="s">
        <v>234</v>
      </c>
    </row>
    <row r="3" spans="1:21" ht="12.75">
      <c r="A3">
        <v>2971.4288189462613</v>
      </c>
      <c r="B3">
        <v>1</v>
      </c>
      <c r="C3">
        <v>16</v>
      </c>
      <c r="E3">
        <v>1200.3084853212936</v>
      </c>
      <c r="F3">
        <v>46</v>
      </c>
      <c r="G3">
        <v>16</v>
      </c>
      <c r="K3" s="109"/>
      <c r="L3" s="109"/>
      <c r="M3" s="110"/>
      <c r="O3" s="95" t="s">
        <v>110</v>
      </c>
      <c r="P3" s="95">
        <v>0.76</v>
      </c>
      <c r="Q3" s="508">
        <v>1212.8710853212935</v>
      </c>
      <c r="R3">
        <v>46</v>
      </c>
      <c r="S3">
        <v>16</v>
      </c>
      <c r="T3" s="505">
        <f>Q3-E3</f>
        <v>12.562599999999975</v>
      </c>
      <c r="U3">
        <f>R3-F3</f>
        <v>0</v>
      </c>
    </row>
    <row r="4" spans="1:21" ht="12.75">
      <c r="A4">
        <v>2915.6687536904124</v>
      </c>
      <c r="B4">
        <v>2</v>
      </c>
      <c r="C4">
        <v>24</v>
      </c>
      <c r="E4">
        <v>1201.9684853212937</v>
      </c>
      <c r="F4">
        <v>23</v>
      </c>
      <c r="G4">
        <v>24</v>
      </c>
      <c r="H4" s="93">
        <f>E4-E3</f>
        <v>1.6600000000000819</v>
      </c>
      <c r="K4" s="109"/>
      <c r="L4" s="109"/>
      <c r="M4" s="110"/>
      <c r="Q4" s="508">
        <v>1214.5310853212936</v>
      </c>
      <c r="R4">
        <v>23</v>
      </c>
      <c r="S4">
        <v>24</v>
      </c>
      <c r="T4" s="505">
        <f>Q4-E4</f>
        <v>12.562599999999975</v>
      </c>
      <c r="U4">
        <f aca="true" t="shared" si="0" ref="U4:U67">R4-F4</f>
        <v>0</v>
      </c>
    </row>
    <row r="5" spans="1:21" ht="12.75">
      <c r="A5">
        <v>2933.5670987394305</v>
      </c>
      <c r="B5">
        <v>3</v>
      </c>
      <c r="C5">
        <v>24</v>
      </c>
      <c r="E5">
        <v>1206.4184853212935</v>
      </c>
      <c r="F5">
        <v>69</v>
      </c>
      <c r="G5">
        <v>24</v>
      </c>
      <c r="H5" s="93">
        <f aca="true" t="shared" si="1" ref="H5:H68">E5-E4</f>
        <v>4.449999999999818</v>
      </c>
      <c r="K5" s="109"/>
      <c r="L5" s="109"/>
      <c r="M5" s="110"/>
      <c r="Q5" s="508">
        <v>1218.9810853212934</v>
      </c>
      <c r="R5">
        <v>69</v>
      </c>
      <c r="S5">
        <v>24</v>
      </c>
      <c r="T5" s="505">
        <f aca="true" t="shared" si="2" ref="T5:T68">Q5-E5</f>
        <v>12.562599999999975</v>
      </c>
      <c r="U5">
        <f t="shared" si="0"/>
        <v>0</v>
      </c>
    </row>
    <row r="6" spans="1:21" ht="12.75">
      <c r="A6">
        <v>2877.7478962681625</v>
      </c>
      <c r="B6">
        <v>4</v>
      </c>
      <c r="C6">
        <v>24</v>
      </c>
      <c r="E6">
        <v>1221.8884853212935</v>
      </c>
      <c r="F6">
        <v>92</v>
      </c>
      <c r="G6">
        <v>16</v>
      </c>
      <c r="H6" s="93">
        <f t="shared" si="1"/>
        <v>15.470000000000027</v>
      </c>
      <c r="I6" s="93">
        <f>SUM(H4:H6)</f>
        <v>21.579999999999927</v>
      </c>
      <c r="J6" s="94">
        <f>SUM(G3:G6)</f>
        <v>80</v>
      </c>
      <c r="K6" s="109">
        <v>1</v>
      </c>
      <c r="L6" s="109">
        <f>ROUNDUP(E6,0)+18</f>
        <v>1240</v>
      </c>
      <c r="M6" s="110">
        <f>J6*1.25</f>
        <v>100</v>
      </c>
      <c r="O6" s="93">
        <f>M6*L6/1000/P$3/12*0.305*2</f>
        <v>8.293859649122808</v>
      </c>
      <c r="Q6" s="508">
        <v>1234.4510853212935</v>
      </c>
      <c r="R6">
        <v>92</v>
      </c>
      <c r="S6">
        <v>16</v>
      </c>
      <c r="T6" s="505">
        <f t="shared" si="2"/>
        <v>12.562599999999975</v>
      </c>
      <c r="U6">
        <f t="shared" si="0"/>
        <v>0</v>
      </c>
    </row>
    <row r="7" spans="1:21" ht="12.75">
      <c r="A7">
        <v>2821.9306729532123</v>
      </c>
      <c r="B7">
        <v>5</v>
      </c>
      <c r="C7">
        <v>8</v>
      </c>
      <c r="E7">
        <v>1256.3354316377743</v>
      </c>
      <c r="F7">
        <v>45</v>
      </c>
      <c r="G7">
        <v>8</v>
      </c>
      <c r="H7" s="93">
        <f t="shared" si="1"/>
        <v>34.44694631648076</v>
      </c>
      <c r="K7" s="109"/>
      <c r="L7" s="109"/>
      <c r="M7" s="110"/>
      <c r="O7" s="93"/>
      <c r="Q7" s="507">
        <v>1268.8986316377743</v>
      </c>
      <c r="R7">
        <v>45</v>
      </c>
      <c r="S7">
        <v>8</v>
      </c>
      <c r="T7" s="505">
        <f t="shared" si="2"/>
        <v>12.563200000000052</v>
      </c>
      <c r="U7">
        <f t="shared" si="0"/>
        <v>0</v>
      </c>
    </row>
    <row r="8" spans="1:21" ht="12.75">
      <c r="A8">
        <v>2778.733945092516</v>
      </c>
      <c r="B8">
        <v>6</v>
      </c>
      <c r="C8">
        <v>24</v>
      </c>
      <c r="E8">
        <v>1257.9954316377743</v>
      </c>
      <c r="F8">
        <v>22</v>
      </c>
      <c r="G8">
        <v>8</v>
      </c>
      <c r="H8" s="93">
        <f t="shared" si="1"/>
        <v>1.6600000000000819</v>
      </c>
      <c r="K8" s="109"/>
      <c r="L8" s="109"/>
      <c r="M8" s="110"/>
      <c r="O8" s="93"/>
      <c r="Q8" s="507">
        <v>1270.5586316377744</v>
      </c>
      <c r="R8">
        <v>22</v>
      </c>
      <c r="S8">
        <v>8</v>
      </c>
      <c r="T8" s="505">
        <f t="shared" si="2"/>
        <v>12.563200000000052</v>
      </c>
      <c r="U8">
        <f t="shared" si="0"/>
        <v>0</v>
      </c>
    </row>
    <row r="9" spans="1:21" ht="12.75">
      <c r="A9">
        <v>2722.8594875457516</v>
      </c>
      <c r="B9">
        <v>7</v>
      </c>
      <c r="C9">
        <v>24</v>
      </c>
      <c r="E9">
        <v>1262.4454316377742</v>
      </c>
      <c r="F9">
        <v>68</v>
      </c>
      <c r="G9">
        <v>0</v>
      </c>
      <c r="H9" s="93">
        <f t="shared" si="1"/>
        <v>4.449999999999818</v>
      </c>
      <c r="K9" s="109"/>
      <c r="L9" s="109"/>
      <c r="M9" s="110"/>
      <c r="O9" s="93"/>
      <c r="Q9" s="507">
        <v>1275.0086316377742</v>
      </c>
      <c r="R9">
        <v>68</v>
      </c>
      <c r="S9">
        <v>0</v>
      </c>
      <c r="T9" s="505">
        <f t="shared" si="2"/>
        <v>12.563200000000052</v>
      </c>
      <c r="U9">
        <f t="shared" si="0"/>
        <v>0</v>
      </c>
    </row>
    <row r="10" spans="1:21" ht="12.75">
      <c r="A10">
        <v>2666.9870177211064</v>
      </c>
      <c r="B10">
        <v>8</v>
      </c>
      <c r="C10">
        <v>8</v>
      </c>
      <c r="E10">
        <v>1277.9154316377742</v>
      </c>
      <c r="F10">
        <v>91</v>
      </c>
      <c r="G10">
        <v>8</v>
      </c>
      <c r="H10" s="93">
        <f t="shared" si="1"/>
        <v>15.470000000000027</v>
      </c>
      <c r="I10" s="93">
        <f>SUM(H8:H10)</f>
        <v>21.579999999999927</v>
      </c>
      <c r="J10" s="94">
        <f>SUM(G7:G10)</f>
        <v>24</v>
      </c>
      <c r="K10" s="109">
        <v>2</v>
      </c>
      <c r="L10" s="109">
        <f>ROUNDUP(E10,0)+18</f>
        <v>1296</v>
      </c>
      <c r="M10" s="110">
        <f>J10*1.25</f>
        <v>30</v>
      </c>
      <c r="O10" s="93">
        <f>M10*L10/1000/P$3/12*0.305*2</f>
        <v>2.600526315789474</v>
      </c>
      <c r="Q10" s="507">
        <v>1290.4786316377742</v>
      </c>
      <c r="R10">
        <v>91</v>
      </c>
      <c r="S10">
        <v>8</v>
      </c>
      <c r="T10" s="505">
        <f t="shared" si="2"/>
        <v>12.563200000000052</v>
      </c>
      <c r="U10">
        <f t="shared" si="0"/>
        <v>0</v>
      </c>
    </row>
    <row r="11" spans="1:21" ht="12.75">
      <c r="A11">
        <v>2576.4119373389185</v>
      </c>
      <c r="B11">
        <v>9</v>
      </c>
      <c r="C11">
        <v>24</v>
      </c>
      <c r="E11">
        <v>1344.5951636997577</v>
      </c>
      <c r="F11">
        <v>44</v>
      </c>
      <c r="G11">
        <v>24</v>
      </c>
      <c r="H11" s="93">
        <f t="shared" si="1"/>
        <v>66.67973206198349</v>
      </c>
      <c r="K11" s="109"/>
      <c r="L11" s="109"/>
      <c r="M11" s="110"/>
      <c r="O11" s="93"/>
      <c r="Q11" s="508">
        <v>1356.6853636997578</v>
      </c>
      <c r="R11">
        <v>44</v>
      </c>
      <c r="S11">
        <v>24</v>
      </c>
      <c r="T11" s="505">
        <f t="shared" si="2"/>
        <v>12.090200000000095</v>
      </c>
      <c r="U11">
        <f t="shared" si="0"/>
        <v>0</v>
      </c>
    </row>
    <row r="12" spans="1:21" ht="12.75">
      <c r="A12">
        <v>2520.4865901538274</v>
      </c>
      <c r="B12">
        <v>10</v>
      </c>
      <c r="C12">
        <v>24</v>
      </c>
      <c r="E12">
        <v>1346.2551636997578</v>
      </c>
      <c r="F12">
        <v>21</v>
      </c>
      <c r="G12">
        <v>24</v>
      </c>
      <c r="H12" s="93">
        <f t="shared" si="1"/>
        <v>1.6600000000000819</v>
      </c>
      <c r="K12" s="109"/>
      <c r="L12" s="109"/>
      <c r="M12" s="110"/>
      <c r="O12" s="93"/>
      <c r="Q12" s="508">
        <v>1358.3453636997579</v>
      </c>
      <c r="R12">
        <v>21</v>
      </c>
      <c r="S12">
        <v>24</v>
      </c>
      <c r="T12" s="505">
        <f t="shared" si="2"/>
        <v>12.090200000000095</v>
      </c>
      <c r="U12">
        <f t="shared" si="0"/>
        <v>0</v>
      </c>
    </row>
    <row r="13" spans="1:21" ht="12.75">
      <c r="A13">
        <v>2464.563305750595</v>
      </c>
      <c r="B13">
        <v>11</v>
      </c>
      <c r="C13">
        <v>8</v>
      </c>
      <c r="E13">
        <v>1350.7051636997576</v>
      </c>
      <c r="F13">
        <v>67</v>
      </c>
      <c r="G13">
        <v>24</v>
      </c>
      <c r="H13" s="93">
        <f t="shared" si="1"/>
        <v>4.449999999999818</v>
      </c>
      <c r="K13" s="109"/>
      <c r="L13" s="109"/>
      <c r="M13" s="110"/>
      <c r="O13" s="93"/>
      <c r="Q13" s="508">
        <v>1362.7953636997577</v>
      </c>
      <c r="R13">
        <v>67</v>
      </c>
      <c r="S13">
        <v>24</v>
      </c>
      <c r="T13" s="505">
        <f t="shared" si="2"/>
        <v>12.090200000000095</v>
      </c>
      <c r="U13">
        <f t="shared" si="0"/>
        <v>0</v>
      </c>
    </row>
    <row r="14" spans="1:21" ht="12.75">
      <c r="A14">
        <v>2485.4386719228287</v>
      </c>
      <c r="B14">
        <v>12</v>
      </c>
      <c r="C14">
        <v>24</v>
      </c>
      <c r="E14">
        <v>1366.1751636997576</v>
      </c>
      <c r="F14">
        <v>90</v>
      </c>
      <c r="G14">
        <v>24</v>
      </c>
      <c r="H14" s="93">
        <f t="shared" si="1"/>
        <v>15.470000000000027</v>
      </c>
      <c r="I14" s="93">
        <f>SUM(H12:H14)</f>
        <v>21.579999999999927</v>
      </c>
      <c r="J14" s="94">
        <f>SUM(G11:G14)</f>
        <v>96</v>
      </c>
      <c r="K14" s="109">
        <v>3</v>
      </c>
      <c r="L14" s="109">
        <f>ROUNDUP(E14,0)+18</f>
        <v>1385</v>
      </c>
      <c r="M14" s="110">
        <f>J14*1.25</f>
        <v>120</v>
      </c>
      <c r="O14" s="93">
        <f>M14*L14/1000/P$3/12*0.305*2</f>
        <v>11.116447368421053</v>
      </c>
      <c r="Q14" s="508">
        <v>1378.2653636997577</v>
      </c>
      <c r="R14">
        <v>90</v>
      </c>
      <c r="S14">
        <v>24</v>
      </c>
      <c r="T14" s="505">
        <f t="shared" si="2"/>
        <v>12.090200000000095</v>
      </c>
      <c r="U14">
        <f t="shared" si="0"/>
        <v>0</v>
      </c>
    </row>
    <row r="15" spans="1:21" ht="12.75">
      <c r="A15">
        <v>2429.469107103433</v>
      </c>
      <c r="B15">
        <v>13</v>
      </c>
      <c r="C15">
        <v>24</v>
      </c>
      <c r="E15">
        <v>1400.561693117255</v>
      </c>
      <c r="F15">
        <v>43</v>
      </c>
      <c r="G15">
        <v>24</v>
      </c>
      <c r="H15" s="93">
        <f t="shared" si="1"/>
        <v>34.386529417497286</v>
      </c>
      <c r="K15" s="109"/>
      <c r="L15" s="109"/>
      <c r="M15" s="110"/>
      <c r="O15" s="93"/>
      <c r="Q15" s="507">
        <v>1412.675693117255</v>
      </c>
      <c r="R15">
        <v>43</v>
      </c>
      <c r="S15">
        <v>24</v>
      </c>
      <c r="T15" s="505">
        <f t="shared" si="2"/>
        <v>12.114000000000033</v>
      </c>
      <c r="U15">
        <f t="shared" si="0"/>
        <v>0</v>
      </c>
    </row>
    <row r="16" spans="1:21" ht="12.75">
      <c r="A16">
        <v>2373.501831863627</v>
      </c>
      <c r="B16">
        <v>14</v>
      </c>
      <c r="C16">
        <v>8</v>
      </c>
      <c r="E16">
        <v>1402.221693117255</v>
      </c>
      <c r="F16">
        <v>20</v>
      </c>
      <c r="G16">
        <v>16</v>
      </c>
      <c r="H16" s="93">
        <f t="shared" si="1"/>
        <v>1.6600000000000819</v>
      </c>
      <c r="K16" s="109"/>
      <c r="L16" s="109"/>
      <c r="M16" s="110"/>
      <c r="O16" s="93"/>
      <c r="Q16" s="507">
        <v>1414.335693117255</v>
      </c>
      <c r="R16">
        <v>20</v>
      </c>
      <c r="S16">
        <v>16</v>
      </c>
      <c r="T16" s="505">
        <f t="shared" si="2"/>
        <v>12.114000000000033</v>
      </c>
      <c r="U16">
        <f t="shared" si="0"/>
        <v>0</v>
      </c>
    </row>
    <row r="17" spans="1:21" ht="12.75">
      <c r="A17">
        <v>2124.6380560349135</v>
      </c>
      <c r="B17">
        <v>15</v>
      </c>
      <c r="C17">
        <v>24</v>
      </c>
      <c r="E17">
        <v>1406.6716931172548</v>
      </c>
      <c r="F17">
        <v>66</v>
      </c>
      <c r="G17">
        <v>24</v>
      </c>
      <c r="H17" s="93">
        <f t="shared" si="1"/>
        <v>4.449999999999818</v>
      </c>
      <c r="K17" s="109"/>
      <c r="L17" s="109"/>
      <c r="M17" s="110"/>
      <c r="O17" s="93"/>
      <c r="Q17" s="507">
        <v>1418.7856931172548</v>
      </c>
      <c r="R17">
        <v>66</v>
      </c>
      <c r="S17">
        <v>24</v>
      </c>
      <c r="T17" s="505">
        <f t="shared" si="2"/>
        <v>12.114000000000033</v>
      </c>
      <c r="U17">
        <f t="shared" si="0"/>
        <v>0</v>
      </c>
    </row>
    <row r="18" spans="1:21" ht="12.75">
      <c r="A18">
        <v>2068.629232324016</v>
      </c>
      <c r="B18">
        <v>16</v>
      </c>
      <c r="C18">
        <v>24</v>
      </c>
      <c r="E18">
        <v>1422.1416931172548</v>
      </c>
      <c r="F18">
        <v>89</v>
      </c>
      <c r="G18">
        <v>24</v>
      </c>
      <c r="H18" s="93">
        <f t="shared" si="1"/>
        <v>15.470000000000027</v>
      </c>
      <c r="I18" s="93">
        <f>SUM(H16:H18)</f>
        <v>21.579999999999927</v>
      </c>
      <c r="J18" s="94">
        <f>SUM(G15:G18)</f>
        <v>88</v>
      </c>
      <c r="K18" s="109">
        <v>4</v>
      </c>
      <c r="L18" s="109">
        <f>ROUNDUP(E18,0)+18</f>
        <v>1441</v>
      </c>
      <c r="M18" s="110">
        <f>J18*1.25</f>
        <v>110</v>
      </c>
      <c r="O18" s="93">
        <f>M18*L18/1000/P$3/12*0.305*2</f>
        <v>10.602094298245612</v>
      </c>
      <c r="Q18" s="507">
        <v>1434.2556931172549</v>
      </c>
      <c r="R18">
        <v>89</v>
      </c>
      <c r="S18">
        <v>24</v>
      </c>
      <c r="T18" s="505">
        <f t="shared" si="2"/>
        <v>12.114000000000033</v>
      </c>
      <c r="U18">
        <f t="shared" si="0"/>
        <v>0</v>
      </c>
    </row>
    <row r="19" spans="1:21" ht="12.75">
      <c r="A19">
        <v>2012.6233702814693</v>
      </c>
      <c r="B19">
        <v>17</v>
      </c>
      <c r="C19">
        <v>8</v>
      </c>
      <c r="E19">
        <v>1728.3010765471715</v>
      </c>
      <c r="F19">
        <v>42</v>
      </c>
      <c r="G19">
        <v>24</v>
      </c>
      <c r="H19" s="93">
        <f t="shared" si="1"/>
        <v>306.1593834299167</v>
      </c>
      <c r="K19" s="109"/>
      <c r="L19" s="109"/>
      <c r="M19" s="110"/>
      <c r="O19" s="93"/>
      <c r="Q19" s="508">
        <v>1738.1634765471717</v>
      </c>
      <c r="R19">
        <v>42</v>
      </c>
      <c r="S19">
        <v>24</v>
      </c>
      <c r="T19" s="505">
        <f t="shared" si="2"/>
        <v>9.862400000000207</v>
      </c>
      <c r="U19">
        <f t="shared" si="0"/>
        <v>0</v>
      </c>
    </row>
    <row r="20" spans="1:21" ht="12.75">
      <c r="A20">
        <v>1785.8031456933898</v>
      </c>
      <c r="B20">
        <v>18</v>
      </c>
      <c r="C20">
        <v>16</v>
      </c>
      <c r="E20">
        <v>1729.9610765471716</v>
      </c>
      <c r="F20">
        <v>19</v>
      </c>
      <c r="G20">
        <v>24</v>
      </c>
      <c r="H20" s="93">
        <f t="shared" si="1"/>
        <v>1.6600000000000819</v>
      </c>
      <c r="K20" s="109"/>
      <c r="L20" s="109"/>
      <c r="M20" s="110"/>
      <c r="O20" s="93"/>
      <c r="Q20" s="508">
        <v>1739.8234765471718</v>
      </c>
      <c r="R20">
        <v>19</v>
      </c>
      <c r="S20">
        <v>24</v>
      </c>
      <c r="T20" s="505">
        <f t="shared" si="2"/>
        <v>9.862400000000207</v>
      </c>
      <c r="U20">
        <f t="shared" si="0"/>
        <v>0</v>
      </c>
    </row>
    <row r="21" spans="1:21" ht="12.75">
      <c r="A21">
        <v>1729.9610765471716</v>
      </c>
      <c r="B21">
        <v>19</v>
      </c>
      <c r="C21">
        <v>24</v>
      </c>
      <c r="E21">
        <v>1734.4110765471714</v>
      </c>
      <c r="F21">
        <v>65</v>
      </c>
      <c r="G21">
        <v>24</v>
      </c>
      <c r="H21" s="93">
        <f t="shared" si="1"/>
        <v>4.449999999999818</v>
      </c>
      <c r="K21" s="109"/>
      <c r="L21" s="109"/>
      <c r="M21" s="110"/>
      <c r="O21" s="93"/>
      <c r="Q21" s="508">
        <v>1744.2734765471716</v>
      </c>
      <c r="R21">
        <v>65</v>
      </c>
      <c r="S21">
        <v>24</v>
      </c>
      <c r="T21" s="505">
        <f t="shared" si="2"/>
        <v>9.862400000000207</v>
      </c>
      <c r="U21">
        <f t="shared" si="0"/>
        <v>0</v>
      </c>
    </row>
    <row r="22" spans="1:21" ht="12.75">
      <c r="A22">
        <v>1402.221693117255</v>
      </c>
      <c r="B22">
        <v>20</v>
      </c>
      <c r="C22">
        <v>16</v>
      </c>
      <c r="E22">
        <v>1749.8810765471715</v>
      </c>
      <c r="F22">
        <v>88</v>
      </c>
      <c r="G22">
        <v>24</v>
      </c>
      <c r="H22" s="93">
        <f t="shared" si="1"/>
        <v>15.470000000000027</v>
      </c>
      <c r="I22" s="93">
        <f>SUM(H20:H22)</f>
        <v>21.579999999999927</v>
      </c>
      <c r="J22" s="94">
        <f>SUM(G19:G22)</f>
        <v>96</v>
      </c>
      <c r="K22" s="109">
        <v>5</v>
      </c>
      <c r="L22" s="109">
        <f>ROUNDUP(E22,0)+18</f>
        <v>1768</v>
      </c>
      <c r="M22" s="110">
        <f>J22*1.25</f>
        <v>120</v>
      </c>
      <c r="O22" s="93">
        <f>M22*L22/1000/P$3/12*0.305*2</f>
        <v>14.190526315789471</v>
      </c>
      <c r="Q22" s="508">
        <v>1759.7434765471717</v>
      </c>
      <c r="R22">
        <v>88</v>
      </c>
      <c r="S22">
        <v>24</v>
      </c>
      <c r="T22" s="505">
        <f t="shared" si="2"/>
        <v>9.862400000000207</v>
      </c>
      <c r="U22">
        <f t="shared" si="0"/>
        <v>0</v>
      </c>
    </row>
    <row r="23" spans="1:21" ht="12.75">
      <c r="A23">
        <v>1346.2551636997578</v>
      </c>
      <c r="B23">
        <v>21</v>
      </c>
      <c r="C23">
        <v>24</v>
      </c>
      <c r="E23">
        <v>1784.1431456933897</v>
      </c>
      <c r="F23">
        <v>41</v>
      </c>
      <c r="G23">
        <v>24</v>
      </c>
      <c r="H23" s="93">
        <f t="shared" si="1"/>
        <v>34.26206914621821</v>
      </c>
      <c r="K23" s="109"/>
      <c r="L23" s="109"/>
      <c r="M23" s="110"/>
      <c r="O23" s="93"/>
      <c r="Q23" s="507">
        <v>1794.1535456933896</v>
      </c>
      <c r="R23">
        <v>41</v>
      </c>
      <c r="S23">
        <v>24</v>
      </c>
      <c r="T23" s="505">
        <f t="shared" si="2"/>
        <v>10.01039999999989</v>
      </c>
      <c r="U23">
        <f t="shared" si="0"/>
        <v>0</v>
      </c>
    </row>
    <row r="24" spans="1:21" ht="12.75">
      <c r="A24">
        <v>1257.9954316377743</v>
      </c>
      <c r="B24">
        <v>22</v>
      </c>
      <c r="C24">
        <v>8</v>
      </c>
      <c r="E24">
        <v>1785.8031456933898</v>
      </c>
      <c r="F24">
        <v>18</v>
      </c>
      <c r="G24">
        <v>16</v>
      </c>
      <c r="H24" s="93">
        <f t="shared" si="1"/>
        <v>1.6600000000000819</v>
      </c>
      <c r="K24" s="109"/>
      <c r="L24" s="109"/>
      <c r="M24" s="110"/>
      <c r="O24" s="93"/>
      <c r="Q24" s="507">
        <v>1795.8135456933896</v>
      </c>
      <c r="R24">
        <v>18</v>
      </c>
      <c r="S24">
        <v>16</v>
      </c>
      <c r="T24" s="505">
        <f t="shared" si="2"/>
        <v>10.01039999999989</v>
      </c>
      <c r="U24">
        <f t="shared" si="0"/>
        <v>0</v>
      </c>
    </row>
    <row r="25" spans="1:21" ht="12.75">
      <c r="A25">
        <v>1201.9684853212937</v>
      </c>
      <c r="B25">
        <v>23</v>
      </c>
      <c r="C25">
        <v>24</v>
      </c>
      <c r="E25">
        <v>1790.2531456933896</v>
      </c>
      <c r="F25">
        <v>64</v>
      </c>
      <c r="G25">
        <v>24</v>
      </c>
      <c r="H25" s="93">
        <f t="shared" si="1"/>
        <v>4.449999999999818</v>
      </c>
      <c r="K25" s="109"/>
      <c r="L25" s="109"/>
      <c r="M25" s="110"/>
      <c r="O25" s="93"/>
      <c r="Q25" s="507">
        <v>1800.2635456933895</v>
      </c>
      <c r="R25">
        <v>64</v>
      </c>
      <c r="S25">
        <v>24</v>
      </c>
      <c r="T25" s="505">
        <f t="shared" si="2"/>
        <v>10.01039999999989</v>
      </c>
      <c r="U25">
        <f t="shared" si="0"/>
        <v>0</v>
      </c>
    </row>
    <row r="26" spans="1:21" ht="12.75">
      <c r="A26">
        <v>2969.7688189462615</v>
      </c>
      <c r="B26">
        <v>24</v>
      </c>
      <c r="C26">
        <v>24</v>
      </c>
      <c r="E26">
        <v>1805.7231456933896</v>
      </c>
      <c r="F26">
        <v>87</v>
      </c>
      <c r="G26">
        <v>24</v>
      </c>
      <c r="H26" s="93">
        <f t="shared" si="1"/>
        <v>15.470000000000027</v>
      </c>
      <c r="I26" s="93">
        <f>SUM(H24:H26)</f>
        <v>21.579999999999927</v>
      </c>
      <c r="J26" s="94">
        <f>SUM(G23:G26)</f>
        <v>88</v>
      </c>
      <c r="K26" s="109">
        <v>6</v>
      </c>
      <c r="L26" s="109">
        <f>ROUNDUP(E26,0)+18</f>
        <v>1824</v>
      </c>
      <c r="M26" s="110">
        <f>J26*1.25</f>
        <v>110</v>
      </c>
      <c r="O26" s="93">
        <f>M26*L26/1000/P$3/12*0.305*2</f>
        <v>13.42</v>
      </c>
      <c r="Q26" s="507">
        <v>1815.7335456933895</v>
      </c>
      <c r="R26">
        <v>87</v>
      </c>
      <c r="S26">
        <v>24</v>
      </c>
      <c r="T26" s="505">
        <f t="shared" si="2"/>
        <v>10.01039999999989</v>
      </c>
      <c r="U26">
        <f t="shared" si="0"/>
        <v>0</v>
      </c>
    </row>
    <row r="27" spans="1:21" ht="12.75">
      <c r="A27">
        <v>2914.0087536904125</v>
      </c>
      <c r="B27">
        <v>25</v>
      </c>
      <c r="C27">
        <v>24</v>
      </c>
      <c r="E27">
        <v>2010.9633702814692</v>
      </c>
      <c r="F27">
        <v>40</v>
      </c>
      <c r="G27">
        <v>24</v>
      </c>
      <c r="H27" s="93">
        <f t="shared" si="1"/>
        <v>205.24022458807963</v>
      </c>
      <c r="K27" s="109"/>
      <c r="L27" s="109"/>
      <c r="M27" s="110"/>
      <c r="O27" s="93"/>
      <c r="Q27" s="508">
        <v>2021.1954702814692</v>
      </c>
      <c r="R27">
        <v>40</v>
      </c>
      <c r="S27">
        <v>24</v>
      </c>
      <c r="T27" s="505">
        <f t="shared" si="2"/>
        <v>10.232099999999946</v>
      </c>
      <c r="U27">
        <f t="shared" si="0"/>
        <v>0</v>
      </c>
    </row>
    <row r="28" spans="1:21" ht="12.75">
      <c r="A28">
        <v>2931.9070987394307</v>
      </c>
      <c r="B28">
        <v>26</v>
      </c>
      <c r="C28">
        <v>24</v>
      </c>
      <c r="E28">
        <v>2012.6233702814693</v>
      </c>
      <c r="F28">
        <v>17</v>
      </c>
      <c r="G28">
        <v>8</v>
      </c>
      <c r="H28" s="93">
        <f t="shared" si="1"/>
        <v>1.6600000000000819</v>
      </c>
      <c r="K28" s="109"/>
      <c r="L28" s="109"/>
      <c r="M28" s="110"/>
      <c r="O28" s="93"/>
      <c r="Q28" s="508">
        <v>2022.8554702814693</v>
      </c>
      <c r="R28">
        <v>17</v>
      </c>
      <c r="S28">
        <v>8</v>
      </c>
      <c r="T28" s="505">
        <f t="shared" si="2"/>
        <v>10.232099999999946</v>
      </c>
      <c r="U28">
        <f t="shared" si="0"/>
        <v>0</v>
      </c>
    </row>
    <row r="29" spans="1:21" ht="12.75">
      <c r="A29">
        <v>2876.0878962681627</v>
      </c>
      <c r="B29">
        <v>27</v>
      </c>
      <c r="C29">
        <v>24</v>
      </c>
      <c r="E29">
        <v>2017.0733702814691</v>
      </c>
      <c r="F29">
        <v>63</v>
      </c>
      <c r="G29">
        <v>16</v>
      </c>
      <c r="H29" s="93">
        <f t="shared" si="1"/>
        <v>4.449999999999818</v>
      </c>
      <c r="K29" s="109"/>
      <c r="L29" s="109"/>
      <c r="M29" s="110"/>
      <c r="O29" s="93"/>
      <c r="Q29" s="508">
        <v>2027.305470281469</v>
      </c>
      <c r="R29">
        <v>63</v>
      </c>
      <c r="S29">
        <v>16</v>
      </c>
      <c r="T29" s="505">
        <f t="shared" si="2"/>
        <v>10.232099999999946</v>
      </c>
      <c r="U29">
        <f t="shared" si="0"/>
        <v>0</v>
      </c>
    </row>
    <row r="30" spans="1:21" ht="12.75">
      <c r="A30">
        <v>2820.2706729532124</v>
      </c>
      <c r="B30">
        <v>28</v>
      </c>
      <c r="C30">
        <v>24</v>
      </c>
      <c r="E30">
        <v>2032.5433702814692</v>
      </c>
      <c r="F30">
        <v>86</v>
      </c>
      <c r="G30">
        <v>24</v>
      </c>
      <c r="H30" s="93">
        <f t="shared" si="1"/>
        <v>15.470000000000027</v>
      </c>
      <c r="I30" s="93">
        <f>SUM(H28:H30)</f>
        <v>21.579999999999927</v>
      </c>
      <c r="J30" s="94">
        <f>SUM(G27:G30)</f>
        <v>72</v>
      </c>
      <c r="K30" s="109">
        <v>7</v>
      </c>
      <c r="L30" s="109">
        <f>ROUNDUP(E30,0)+18</f>
        <v>2051</v>
      </c>
      <c r="M30" s="110">
        <f>J30*1.25</f>
        <v>90</v>
      </c>
      <c r="O30" s="93">
        <f>M30*L30/1000/P$3/12*0.305*2</f>
        <v>12.346480263157893</v>
      </c>
      <c r="Q30" s="508">
        <v>2042.775470281469</v>
      </c>
      <c r="R30">
        <v>86</v>
      </c>
      <c r="S30">
        <v>24</v>
      </c>
      <c r="T30" s="505">
        <f t="shared" si="2"/>
        <v>10.232099999999946</v>
      </c>
      <c r="U30">
        <f t="shared" si="0"/>
        <v>0</v>
      </c>
    </row>
    <row r="31" spans="1:21" ht="12.75">
      <c r="A31">
        <v>2777.073945092516</v>
      </c>
      <c r="B31">
        <v>29</v>
      </c>
      <c r="C31">
        <v>24</v>
      </c>
      <c r="E31">
        <v>2066.969232324016</v>
      </c>
      <c r="F31">
        <v>39</v>
      </c>
      <c r="G31">
        <v>24</v>
      </c>
      <c r="H31" s="93">
        <f t="shared" si="1"/>
        <v>34.425862042546896</v>
      </c>
      <c r="K31" s="109"/>
      <c r="L31" s="109"/>
      <c r="M31" s="110"/>
      <c r="O31" s="93"/>
      <c r="Q31" s="507">
        <v>2077.176432324016</v>
      </c>
      <c r="R31">
        <v>39</v>
      </c>
      <c r="S31">
        <v>24</v>
      </c>
      <c r="T31" s="505">
        <f t="shared" si="2"/>
        <v>10.20719999999983</v>
      </c>
      <c r="U31">
        <f t="shared" si="0"/>
        <v>0</v>
      </c>
    </row>
    <row r="32" spans="1:21" ht="12.75">
      <c r="A32">
        <v>2721.1994875457517</v>
      </c>
      <c r="B32">
        <v>30</v>
      </c>
      <c r="C32">
        <v>24</v>
      </c>
      <c r="E32">
        <v>2068.629232324016</v>
      </c>
      <c r="F32">
        <v>16</v>
      </c>
      <c r="G32">
        <v>24</v>
      </c>
      <c r="H32" s="93">
        <f t="shared" si="1"/>
        <v>1.6599999999998545</v>
      </c>
      <c r="K32" s="109"/>
      <c r="L32" s="109"/>
      <c r="M32" s="110"/>
      <c r="O32" s="93"/>
      <c r="Q32" s="507">
        <v>2078.8364323240157</v>
      </c>
      <c r="R32">
        <v>16</v>
      </c>
      <c r="S32">
        <v>24</v>
      </c>
      <c r="T32" s="505">
        <f t="shared" si="2"/>
        <v>10.20719999999983</v>
      </c>
      <c r="U32">
        <f t="shared" si="0"/>
        <v>0</v>
      </c>
    </row>
    <row r="33" spans="1:21" ht="12.75">
      <c r="A33">
        <v>2665.3270177211066</v>
      </c>
      <c r="B33">
        <v>31</v>
      </c>
      <c r="C33">
        <v>24</v>
      </c>
      <c r="E33">
        <v>2073.0792323240157</v>
      </c>
      <c r="F33">
        <v>62</v>
      </c>
      <c r="G33">
        <v>24</v>
      </c>
      <c r="H33" s="93">
        <f t="shared" si="1"/>
        <v>4.449999999999818</v>
      </c>
      <c r="K33" s="109"/>
      <c r="L33" s="109"/>
      <c r="M33" s="110"/>
      <c r="O33" s="93"/>
      <c r="Q33" s="507">
        <v>2083.2864323240155</v>
      </c>
      <c r="R33">
        <v>62</v>
      </c>
      <c r="S33">
        <v>24</v>
      </c>
      <c r="T33" s="505">
        <f t="shared" si="2"/>
        <v>10.20719999999983</v>
      </c>
      <c r="U33">
        <f t="shared" si="0"/>
        <v>0</v>
      </c>
    </row>
    <row r="34" spans="1:21" ht="12.75">
      <c r="A34">
        <v>2574.7519373389187</v>
      </c>
      <c r="B34">
        <v>32</v>
      </c>
      <c r="C34">
        <v>24</v>
      </c>
      <c r="E34">
        <v>2088.549232324016</v>
      </c>
      <c r="F34">
        <v>85</v>
      </c>
      <c r="G34">
        <v>24</v>
      </c>
      <c r="H34" s="93">
        <f t="shared" si="1"/>
        <v>15.470000000000255</v>
      </c>
      <c r="I34" s="93">
        <f>SUM(H32:H34)</f>
        <v>21.579999999999927</v>
      </c>
      <c r="J34" s="94">
        <f>SUM(G31:G34)</f>
        <v>96</v>
      </c>
      <c r="K34" s="109">
        <v>8</v>
      </c>
      <c r="L34" s="109">
        <f>ROUNDUP(E34,0)+18</f>
        <v>2107</v>
      </c>
      <c r="M34" s="110">
        <f>J34*1.25</f>
        <v>120</v>
      </c>
      <c r="O34" s="93">
        <f>M34*L34/1000/P$3/12*0.305*2</f>
        <v>16.91144736842105</v>
      </c>
      <c r="Q34" s="507">
        <v>2098.756432324016</v>
      </c>
      <c r="R34">
        <v>85</v>
      </c>
      <c r="S34">
        <v>24</v>
      </c>
      <c r="T34" s="505">
        <f t="shared" si="2"/>
        <v>10.20719999999983</v>
      </c>
      <c r="U34">
        <f t="shared" si="0"/>
        <v>0</v>
      </c>
    </row>
    <row r="35" spans="1:21" ht="12.75">
      <c r="A35">
        <v>2518.8265901538275</v>
      </c>
      <c r="B35">
        <v>33</v>
      </c>
      <c r="C35">
        <v>24</v>
      </c>
      <c r="E35">
        <v>2122.9780560349136</v>
      </c>
      <c r="F35">
        <v>38</v>
      </c>
      <c r="G35">
        <v>24</v>
      </c>
      <c r="H35" s="93">
        <f t="shared" si="1"/>
        <v>34.42882371089763</v>
      </c>
      <c r="K35" s="109"/>
      <c r="L35" s="109"/>
      <c r="M35" s="110"/>
      <c r="O35" s="93"/>
      <c r="Q35" s="508">
        <v>2133.1944560349134</v>
      </c>
      <c r="R35">
        <v>38</v>
      </c>
      <c r="S35">
        <v>24</v>
      </c>
      <c r="T35" s="505">
        <f t="shared" si="2"/>
        <v>10.216399999999794</v>
      </c>
      <c r="U35">
        <f t="shared" si="0"/>
        <v>0</v>
      </c>
    </row>
    <row r="36" spans="1:21" ht="12.75">
      <c r="A36">
        <v>2462.9033057505953</v>
      </c>
      <c r="B36">
        <v>34</v>
      </c>
      <c r="C36">
        <v>24</v>
      </c>
      <c r="E36">
        <v>2124.6380560349135</v>
      </c>
      <c r="F36">
        <v>15</v>
      </c>
      <c r="G36">
        <v>24</v>
      </c>
      <c r="H36" s="93">
        <f t="shared" si="1"/>
        <v>1.6599999999998545</v>
      </c>
      <c r="K36" s="109"/>
      <c r="L36" s="109"/>
      <c r="M36" s="110"/>
      <c r="O36" s="93"/>
      <c r="Q36" s="508">
        <v>2134.8544560349133</v>
      </c>
      <c r="R36">
        <v>15</v>
      </c>
      <c r="S36">
        <v>24</v>
      </c>
      <c r="T36" s="505">
        <f t="shared" si="2"/>
        <v>10.216399999999794</v>
      </c>
      <c r="U36">
        <f t="shared" si="0"/>
        <v>0</v>
      </c>
    </row>
    <row r="37" spans="1:21" ht="12.75">
      <c r="A37">
        <v>2483.778671922829</v>
      </c>
      <c r="B37">
        <v>35</v>
      </c>
      <c r="C37">
        <v>24</v>
      </c>
      <c r="E37">
        <v>2129.0880560349133</v>
      </c>
      <c r="F37">
        <v>61</v>
      </c>
      <c r="G37">
        <v>24</v>
      </c>
      <c r="H37" s="93">
        <f t="shared" si="1"/>
        <v>4.449999999999818</v>
      </c>
      <c r="K37" s="109"/>
      <c r="L37" s="109"/>
      <c r="M37" s="110"/>
      <c r="O37" s="93"/>
      <c r="Q37" s="508">
        <v>2139.304456034913</v>
      </c>
      <c r="R37">
        <v>61</v>
      </c>
      <c r="S37">
        <v>24</v>
      </c>
      <c r="T37" s="505">
        <f t="shared" si="2"/>
        <v>10.216399999999794</v>
      </c>
      <c r="U37">
        <f t="shared" si="0"/>
        <v>0</v>
      </c>
    </row>
    <row r="38" spans="1:21" ht="12.75">
      <c r="A38">
        <v>2427.8091071034332</v>
      </c>
      <c r="B38">
        <v>36</v>
      </c>
      <c r="C38">
        <v>24</v>
      </c>
      <c r="E38">
        <v>2144.5580560349135</v>
      </c>
      <c r="F38">
        <v>84</v>
      </c>
      <c r="G38">
        <v>24</v>
      </c>
      <c r="H38" s="93">
        <f t="shared" si="1"/>
        <v>15.470000000000255</v>
      </c>
      <c r="I38" s="93">
        <f>SUM(H36:H38)</f>
        <v>21.579999999999927</v>
      </c>
      <c r="J38" s="94">
        <f>SUM(G35:G38)</f>
        <v>96</v>
      </c>
      <c r="K38" s="109">
        <v>9</v>
      </c>
      <c r="L38" s="109">
        <f>ROUNDUP(E38,0)+18</f>
        <v>2163</v>
      </c>
      <c r="M38" s="110">
        <f>J38*1.25</f>
        <v>120</v>
      </c>
      <c r="O38" s="93">
        <f>M38*L38/1000/P$3/12*0.305*2</f>
        <v>17.36092105263158</v>
      </c>
      <c r="Q38" s="508">
        <v>2154.7744560349133</v>
      </c>
      <c r="R38">
        <v>84</v>
      </c>
      <c r="S38">
        <v>24</v>
      </c>
      <c r="T38" s="505">
        <f t="shared" si="2"/>
        <v>10.216399999999794</v>
      </c>
      <c r="U38">
        <f t="shared" si="0"/>
        <v>0</v>
      </c>
    </row>
    <row r="39" spans="1:21" ht="12.75">
      <c r="A39">
        <v>2371.8418318636272</v>
      </c>
      <c r="B39">
        <v>37</v>
      </c>
      <c r="C39">
        <v>24</v>
      </c>
      <c r="E39">
        <v>2371.8418318636272</v>
      </c>
      <c r="F39">
        <v>37</v>
      </c>
      <c r="G39">
        <v>24</v>
      </c>
      <c r="H39" s="93">
        <f t="shared" si="1"/>
        <v>227.28377582871371</v>
      </c>
      <c r="K39" s="109"/>
      <c r="L39" s="109"/>
      <c r="M39" s="110"/>
      <c r="O39" s="93"/>
      <c r="Q39" s="507">
        <v>2380.9951318636276</v>
      </c>
      <c r="R39">
        <v>37</v>
      </c>
      <c r="S39">
        <v>24</v>
      </c>
      <c r="T39" s="505">
        <f t="shared" si="2"/>
        <v>9.1533000000004</v>
      </c>
      <c r="U39">
        <f t="shared" si="0"/>
        <v>0</v>
      </c>
    </row>
    <row r="40" spans="1:21" ht="12.75">
      <c r="A40">
        <v>2122.9780560349136</v>
      </c>
      <c r="B40">
        <v>38</v>
      </c>
      <c r="C40">
        <v>24</v>
      </c>
      <c r="E40">
        <v>2373.501831863627</v>
      </c>
      <c r="F40">
        <v>14</v>
      </c>
      <c r="G40">
        <v>8</v>
      </c>
      <c r="H40" s="93">
        <f t="shared" si="1"/>
        <v>1.6599999999998545</v>
      </c>
      <c r="K40" s="109"/>
      <c r="L40" s="109"/>
      <c r="M40" s="110"/>
      <c r="O40" s="93"/>
      <c r="Q40" s="507">
        <v>2382.6551318636275</v>
      </c>
      <c r="R40">
        <v>14</v>
      </c>
      <c r="S40">
        <v>8</v>
      </c>
      <c r="T40" s="505">
        <f t="shared" si="2"/>
        <v>9.1533000000004</v>
      </c>
      <c r="U40">
        <f t="shared" si="0"/>
        <v>0</v>
      </c>
    </row>
    <row r="41" spans="1:21" ht="12.75">
      <c r="A41">
        <v>2066.969232324016</v>
      </c>
      <c r="B41">
        <v>39</v>
      </c>
      <c r="C41">
        <v>24</v>
      </c>
      <c r="E41">
        <v>2377.951831863627</v>
      </c>
      <c r="F41">
        <v>60</v>
      </c>
      <c r="G41">
        <v>16</v>
      </c>
      <c r="H41" s="93">
        <f t="shared" si="1"/>
        <v>4.449999999999818</v>
      </c>
      <c r="K41" s="109"/>
      <c r="L41" s="109"/>
      <c r="M41" s="110"/>
      <c r="O41" s="93"/>
      <c r="Q41" s="507">
        <v>2387.1051318636273</v>
      </c>
      <c r="R41">
        <v>60</v>
      </c>
      <c r="S41">
        <v>16</v>
      </c>
      <c r="T41" s="505">
        <f t="shared" si="2"/>
        <v>9.1533000000004</v>
      </c>
      <c r="U41">
        <f t="shared" si="0"/>
        <v>0</v>
      </c>
    </row>
    <row r="42" spans="1:21" ht="12.75">
      <c r="A42">
        <v>2010.9633702814692</v>
      </c>
      <c r="B42">
        <v>40</v>
      </c>
      <c r="C42">
        <v>24</v>
      </c>
      <c r="E42">
        <v>2393.421831863627</v>
      </c>
      <c r="F42">
        <v>83</v>
      </c>
      <c r="G42">
        <v>24</v>
      </c>
      <c r="H42" s="93">
        <f t="shared" si="1"/>
        <v>15.470000000000255</v>
      </c>
      <c r="I42" s="93">
        <f>SUM(H40:H42)</f>
        <v>21.579999999999927</v>
      </c>
      <c r="J42" s="94">
        <f>SUM(G39:G42)</f>
        <v>72</v>
      </c>
      <c r="K42" s="109">
        <v>10</v>
      </c>
      <c r="L42" s="109">
        <f>ROUNDUP(E42,0)+18</f>
        <v>2412</v>
      </c>
      <c r="M42" s="110">
        <f>J42*1.25</f>
        <v>90</v>
      </c>
      <c r="O42" s="93">
        <f>M42*L42/1000/P$3/12*0.305*2</f>
        <v>14.519605263157896</v>
      </c>
      <c r="Q42" s="507">
        <v>2402.5751318636276</v>
      </c>
      <c r="R42">
        <v>83</v>
      </c>
      <c r="S42">
        <v>24</v>
      </c>
      <c r="T42" s="505">
        <f t="shared" si="2"/>
        <v>9.1533000000004</v>
      </c>
      <c r="U42">
        <f t="shared" si="0"/>
        <v>0</v>
      </c>
    </row>
    <row r="43" spans="1:21" ht="12.75">
      <c r="A43">
        <v>1784.1431456933897</v>
      </c>
      <c r="B43">
        <v>41</v>
      </c>
      <c r="C43">
        <v>24</v>
      </c>
      <c r="E43">
        <v>2427.8091071034332</v>
      </c>
      <c r="F43">
        <v>36</v>
      </c>
      <c r="G43">
        <v>24</v>
      </c>
      <c r="H43" s="93">
        <f t="shared" si="1"/>
        <v>34.38727523980606</v>
      </c>
      <c r="K43" s="109"/>
      <c r="L43" s="109"/>
      <c r="M43" s="110"/>
      <c r="O43" s="93"/>
      <c r="Q43" s="508">
        <v>2436.948807103433</v>
      </c>
      <c r="R43">
        <v>36</v>
      </c>
      <c r="S43">
        <v>24</v>
      </c>
      <c r="T43" s="505">
        <f t="shared" si="2"/>
        <v>9.13969999999972</v>
      </c>
      <c r="U43">
        <f t="shared" si="0"/>
        <v>0</v>
      </c>
    </row>
    <row r="44" spans="1:21" ht="12.75">
      <c r="A44">
        <v>1728.3010765471715</v>
      </c>
      <c r="B44">
        <v>42</v>
      </c>
      <c r="C44">
        <v>24</v>
      </c>
      <c r="E44">
        <v>2429.469107103433</v>
      </c>
      <c r="F44">
        <v>13</v>
      </c>
      <c r="G44">
        <v>24</v>
      </c>
      <c r="H44" s="93">
        <f t="shared" si="1"/>
        <v>1.6599999999998545</v>
      </c>
      <c r="K44" s="109"/>
      <c r="L44" s="109"/>
      <c r="M44" s="110"/>
      <c r="O44" s="93"/>
      <c r="Q44" s="508">
        <v>2438.608807103433</v>
      </c>
      <c r="R44">
        <v>13</v>
      </c>
      <c r="S44">
        <v>24</v>
      </c>
      <c r="T44" s="505">
        <f t="shared" si="2"/>
        <v>9.13969999999972</v>
      </c>
      <c r="U44">
        <f t="shared" si="0"/>
        <v>0</v>
      </c>
    </row>
    <row r="45" spans="1:21" ht="12.75">
      <c r="A45">
        <v>1400.561693117255</v>
      </c>
      <c r="B45">
        <v>43</v>
      </c>
      <c r="C45">
        <v>24</v>
      </c>
      <c r="E45">
        <v>2433.919107103433</v>
      </c>
      <c r="F45">
        <v>59</v>
      </c>
      <c r="G45">
        <v>24</v>
      </c>
      <c r="H45" s="93">
        <f t="shared" si="1"/>
        <v>4.449999999999818</v>
      </c>
      <c r="I45" s="93">
        <f>SUM(H44:H45)</f>
        <v>6.109999999999673</v>
      </c>
      <c r="J45" s="94">
        <f>SUM(G43:G45)</f>
        <v>72</v>
      </c>
      <c r="K45" s="109">
        <v>11</v>
      </c>
      <c r="L45" s="109">
        <f>ROUNDUP(E45,0)+18</f>
        <v>2452</v>
      </c>
      <c r="M45" s="110">
        <f>J45*1.25</f>
        <v>90</v>
      </c>
      <c r="O45" s="93">
        <f>M45*L45/1000/P$3/12*0.305*2</f>
        <v>14.760394736842104</v>
      </c>
      <c r="Q45" s="508">
        <v>2443.0588071034326</v>
      </c>
      <c r="R45">
        <v>59</v>
      </c>
      <c r="S45">
        <v>24</v>
      </c>
      <c r="T45" s="505">
        <f t="shared" si="2"/>
        <v>9.13969999999972</v>
      </c>
      <c r="U45">
        <f t="shared" si="0"/>
        <v>0</v>
      </c>
    </row>
    <row r="46" spans="1:21" ht="12.75">
      <c r="A46">
        <v>1344.5951636997577</v>
      </c>
      <c r="B46">
        <v>44</v>
      </c>
      <c r="C46">
        <v>24</v>
      </c>
      <c r="E46">
        <v>2449.389107103433</v>
      </c>
      <c r="F46">
        <v>82</v>
      </c>
      <c r="G46">
        <v>24</v>
      </c>
      <c r="H46" s="93">
        <f t="shared" si="1"/>
        <v>15.470000000000255</v>
      </c>
      <c r="K46" s="109"/>
      <c r="L46" s="109"/>
      <c r="M46" s="110"/>
      <c r="O46" s="93"/>
      <c r="Q46" s="507">
        <v>2458.528807103433</v>
      </c>
      <c r="R46">
        <v>82</v>
      </c>
      <c r="S46">
        <v>24</v>
      </c>
      <c r="T46" s="505">
        <f t="shared" si="2"/>
        <v>9.13969999999972</v>
      </c>
      <c r="U46">
        <f t="shared" si="0"/>
        <v>0</v>
      </c>
    </row>
    <row r="47" spans="1:21" ht="12.75">
      <c r="A47">
        <v>1256.3354316377743</v>
      </c>
      <c r="B47">
        <v>45</v>
      </c>
      <c r="C47">
        <v>8</v>
      </c>
      <c r="E47">
        <v>2462.9033057505953</v>
      </c>
      <c r="F47">
        <v>34</v>
      </c>
      <c r="G47">
        <v>24</v>
      </c>
      <c r="H47" s="93">
        <f t="shared" si="1"/>
        <v>13.514198647162175</v>
      </c>
      <c r="K47" s="109"/>
      <c r="L47" s="109"/>
      <c r="M47" s="110"/>
      <c r="O47" s="93"/>
      <c r="Q47" s="507">
        <v>2470.7139057505956</v>
      </c>
      <c r="R47">
        <v>34</v>
      </c>
      <c r="S47">
        <v>24</v>
      </c>
      <c r="T47" s="505">
        <f t="shared" si="2"/>
        <v>7.81060000000025</v>
      </c>
      <c r="U47">
        <f t="shared" si="0"/>
        <v>0</v>
      </c>
    </row>
    <row r="48" spans="1:21" ht="12.75">
      <c r="A48">
        <v>1200.3084853212936</v>
      </c>
      <c r="B48">
        <v>46</v>
      </c>
      <c r="C48">
        <v>16</v>
      </c>
      <c r="E48">
        <v>2464.563305750595</v>
      </c>
      <c r="F48">
        <v>11</v>
      </c>
      <c r="G48">
        <v>8</v>
      </c>
      <c r="H48" s="93">
        <f t="shared" si="1"/>
        <v>1.6599999999998545</v>
      </c>
      <c r="I48" s="93">
        <f>SUM(H47:H48)</f>
        <v>15.17419864716203</v>
      </c>
      <c r="J48" s="94">
        <f>SUM(G46:G48)</f>
        <v>56</v>
      </c>
      <c r="K48" s="109">
        <v>12</v>
      </c>
      <c r="L48" s="109">
        <f>ROUNDUP(E48,0)+18</f>
        <v>2483</v>
      </c>
      <c r="M48" s="110">
        <f>J48*1.25</f>
        <v>70</v>
      </c>
      <c r="O48" s="93">
        <f>M48*L48/1000/P$3/12*0.305*2</f>
        <v>11.625449561403508</v>
      </c>
      <c r="Q48" s="507">
        <v>2472.3739057505954</v>
      </c>
      <c r="R48">
        <v>11</v>
      </c>
      <c r="S48">
        <v>8</v>
      </c>
      <c r="T48" s="505">
        <f t="shared" si="2"/>
        <v>7.81060000000025</v>
      </c>
      <c r="U48">
        <f t="shared" si="0"/>
        <v>0</v>
      </c>
    </row>
    <row r="49" spans="1:21" ht="12.75">
      <c r="A49">
        <v>2975.878818946261</v>
      </c>
      <c r="B49">
        <v>47</v>
      </c>
      <c r="C49">
        <v>24</v>
      </c>
      <c r="E49">
        <v>2469.013305750595</v>
      </c>
      <c r="F49">
        <v>57</v>
      </c>
      <c r="G49">
        <v>16</v>
      </c>
      <c r="H49" s="93">
        <f t="shared" si="1"/>
        <v>4.449999999999818</v>
      </c>
      <c r="K49" s="109"/>
      <c r="L49" s="109"/>
      <c r="M49" s="110"/>
      <c r="O49" s="93"/>
      <c r="Q49" s="508">
        <v>2476.8239057505953</v>
      </c>
      <c r="R49">
        <v>57</v>
      </c>
      <c r="S49">
        <v>16</v>
      </c>
      <c r="T49" s="505">
        <f t="shared" si="2"/>
        <v>7.81060000000025</v>
      </c>
      <c r="U49">
        <f t="shared" si="0"/>
        <v>0</v>
      </c>
    </row>
    <row r="50" spans="1:21" ht="12.75">
      <c r="A50">
        <v>2920.118753690412</v>
      </c>
      <c r="B50">
        <v>48</v>
      </c>
      <c r="C50">
        <v>24</v>
      </c>
      <c r="E50">
        <v>2483.778671922829</v>
      </c>
      <c r="F50">
        <v>35</v>
      </c>
      <c r="G50">
        <v>24</v>
      </c>
      <c r="H50" s="93">
        <f t="shared" si="1"/>
        <v>14.765366172233826</v>
      </c>
      <c r="K50" s="109"/>
      <c r="L50" s="109"/>
      <c r="M50" s="110"/>
      <c r="O50" s="93"/>
      <c r="Q50" s="508">
        <v>2492.2939057505955</v>
      </c>
      <c r="R50">
        <v>80</v>
      </c>
      <c r="S50">
        <v>24</v>
      </c>
      <c r="T50" s="505">
        <f t="shared" si="2"/>
        <v>8.515233827766679</v>
      </c>
      <c r="U50">
        <f t="shared" si="0"/>
        <v>45</v>
      </c>
    </row>
    <row r="51" spans="1:21" ht="12.75">
      <c r="A51">
        <v>2938.0170987394304</v>
      </c>
      <c r="B51">
        <v>49</v>
      </c>
      <c r="C51">
        <v>24</v>
      </c>
      <c r="E51">
        <v>2484.4833057505953</v>
      </c>
      <c r="F51">
        <v>80</v>
      </c>
      <c r="G51">
        <v>24</v>
      </c>
      <c r="H51" s="93">
        <f t="shared" si="1"/>
        <v>0.704633827766429</v>
      </c>
      <c r="I51" s="93">
        <f>SUM(H50:H51)</f>
        <v>15.470000000000255</v>
      </c>
      <c r="J51" s="94">
        <f>SUM(G49:G51)</f>
        <v>64</v>
      </c>
      <c r="K51" s="109">
        <v>13</v>
      </c>
      <c r="L51" s="109">
        <f>ROUNDUP(E51,0)+18</f>
        <v>2503</v>
      </c>
      <c r="M51" s="110">
        <f>J51*1.25</f>
        <v>80</v>
      </c>
      <c r="O51" s="93">
        <f>M51*L51/1000/P$3/12*0.305*2</f>
        <v>13.393245614035086</v>
      </c>
      <c r="Q51" s="508">
        <v>2492.913371922829</v>
      </c>
      <c r="R51">
        <v>35</v>
      </c>
      <c r="S51">
        <v>24</v>
      </c>
      <c r="T51" s="505">
        <f t="shared" si="2"/>
        <v>8.430066172233637</v>
      </c>
      <c r="U51">
        <f t="shared" si="0"/>
        <v>-45</v>
      </c>
    </row>
    <row r="52" spans="1:21" ht="12.75">
      <c r="A52">
        <v>2882.1978962681624</v>
      </c>
      <c r="B52">
        <v>50</v>
      </c>
      <c r="C52">
        <v>24</v>
      </c>
      <c r="E52">
        <v>2485.4386719228287</v>
      </c>
      <c r="F52">
        <v>12</v>
      </c>
      <c r="G52">
        <v>24</v>
      </c>
      <c r="H52" s="93">
        <f t="shared" si="1"/>
        <v>0.9553661722334255</v>
      </c>
      <c r="K52" s="109"/>
      <c r="L52" s="109"/>
      <c r="M52" s="110"/>
      <c r="O52" s="93"/>
      <c r="Q52" s="507">
        <v>2494.5733719228288</v>
      </c>
      <c r="R52">
        <v>12</v>
      </c>
      <c r="S52">
        <v>24</v>
      </c>
      <c r="T52" s="505">
        <f t="shared" si="2"/>
        <v>9.134700000000066</v>
      </c>
      <c r="U52">
        <f t="shared" si="0"/>
        <v>0</v>
      </c>
    </row>
    <row r="53" spans="1:21" ht="12.75">
      <c r="A53">
        <v>2826.380672953212</v>
      </c>
      <c r="B53">
        <v>51</v>
      </c>
      <c r="C53">
        <v>16</v>
      </c>
      <c r="E53">
        <v>2489.8886719228285</v>
      </c>
      <c r="F53">
        <v>58</v>
      </c>
      <c r="G53">
        <v>24</v>
      </c>
      <c r="H53" s="93">
        <f t="shared" si="1"/>
        <v>4.449999999999818</v>
      </c>
      <c r="K53" s="109"/>
      <c r="L53" s="109"/>
      <c r="M53" s="110"/>
      <c r="O53" s="93"/>
      <c r="Q53" s="507">
        <v>2499.0233719228286</v>
      </c>
      <c r="R53">
        <v>58</v>
      </c>
      <c r="S53">
        <v>24</v>
      </c>
      <c r="T53" s="505">
        <f t="shared" si="2"/>
        <v>9.134700000000066</v>
      </c>
      <c r="U53">
        <f t="shared" si="0"/>
        <v>0</v>
      </c>
    </row>
    <row r="54" spans="1:21" ht="12.75">
      <c r="A54">
        <v>2783.183945092516</v>
      </c>
      <c r="B54">
        <v>52</v>
      </c>
      <c r="C54">
        <v>24</v>
      </c>
      <c r="E54">
        <v>2505.3586719228288</v>
      </c>
      <c r="F54">
        <v>81</v>
      </c>
      <c r="G54">
        <v>24</v>
      </c>
      <c r="H54" s="93">
        <f t="shared" si="1"/>
        <v>15.470000000000255</v>
      </c>
      <c r="I54" s="93">
        <f>SUM(H53:H54)</f>
        <v>19.920000000000073</v>
      </c>
      <c r="J54" s="94">
        <f>SUM(G52:G54)</f>
        <v>72</v>
      </c>
      <c r="K54" s="109">
        <v>14</v>
      </c>
      <c r="L54" s="109">
        <f>ROUNDUP(E54,0)+18</f>
        <v>2524</v>
      </c>
      <c r="M54" s="110">
        <f>J54*1.25</f>
        <v>90</v>
      </c>
      <c r="O54" s="93">
        <f>M54*L54/1000/P$3/12*0.305*2</f>
        <v>15.193815789473684</v>
      </c>
      <c r="Q54" s="507">
        <v>2514.493371922829</v>
      </c>
      <c r="R54">
        <v>81</v>
      </c>
      <c r="S54">
        <v>24</v>
      </c>
      <c r="T54" s="505">
        <f t="shared" si="2"/>
        <v>9.134700000000066</v>
      </c>
      <c r="U54">
        <f t="shared" si="0"/>
        <v>0</v>
      </c>
    </row>
    <row r="55" spans="1:21" ht="12.75">
      <c r="A55">
        <v>2727.3094875457514</v>
      </c>
      <c r="B55">
        <v>53</v>
      </c>
      <c r="C55">
        <v>24</v>
      </c>
      <c r="E55">
        <v>2518.8265901538275</v>
      </c>
      <c r="F55">
        <v>33</v>
      </c>
      <c r="G55">
        <v>24</v>
      </c>
      <c r="H55" s="93">
        <f t="shared" si="1"/>
        <v>13.467918230998748</v>
      </c>
      <c r="K55" s="109"/>
      <c r="L55" s="109"/>
      <c r="M55" s="110"/>
      <c r="O55" s="93"/>
      <c r="Q55" s="508">
        <v>2526.6367901538274</v>
      </c>
      <c r="R55">
        <v>33</v>
      </c>
      <c r="S55">
        <v>24</v>
      </c>
      <c r="T55" s="505">
        <f t="shared" si="2"/>
        <v>7.810199999999895</v>
      </c>
      <c r="U55">
        <f t="shared" si="0"/>
        <v>0</v>
      </c>
    </row>
    <row r="56" spans="1:21" ht="12.75">
      <c r="A56">
        <v>2671.4370177211063</v>
      </c>
      <c r="B56">
        <v>54</v>
      </c>
      <c r="C56">
        <v>16</v>
      </c>
      <c r="E56">
        <v>2520.4865901538274</v>
      </c>
      <c r="F56">
        <v>10</v>
      </c>
      <c r="G56">
        <v>24</v>
      </c>
      <c r="H56" s="93">
        <f t="shared" si="1"/>
        <v>1.6599999999998545</v>
      </c>
      <c r="K56" s="109"/>
      <c r="L56" s="109"/>
      <c r="M56" s="110"/>
      <c r="O56" s="93"/>
      <c r="Q56" s="508">
        <v>2528.2967901538273</v>
      </c>
      <c r="R56">
        <v>10</v>
      </c>
      <c r="S56">
        <v>24</v>
      </c>
      <c r="T56" s="505">
        <f t="shared" si="2"/>
        <v>7.810199999999895</v>
      </c>
      <c r="U56">
        <f t="shared" si="0"/>
        <v>0</v>
      </c>
    </row>
    <row r="57" spans="1:21" ht="12.75">
      <c r="A57">
        <v>2580.8619373389183</v>
      </c>
      <c r="B57">
        <v>55</v>
      </c>
      <c r="C57">
        <v>24</v>
      </c>
      <c r="E57">
        <v>2524.936590153827</v>
      </c>
      <c r="F57">
        <v>56</v>
      </c>
      <c r="G57">
        <v>24</v>
      </c>
      <c r="H57" s="93">
        <f t="shared" si="1"/>
        <v>4.449999999999818</v>
      </c>
      <c r="K57" s="109"/>
      <c r="L57" s="109"/>
      <c r="M57" s="110"/>
      <c r="O57" s="93"/>
      <c r="Q57" s="508">
        <v>2532.746790153827</v>
      </c>
      <c r="R57">
        <v>56</v>
      </c>
      <c r="S57">
        <v>24</v>
      </c>
      <c r="T57" s="505">
        <f t="shared" si="2"/>
        <v>7.810199999999895</v>
      </c>
      <c r="U57">
        <f t="shared" si="0"/>
        <v>0</v>
      </c>
    </row>
    <row r="58" spans="1:21" ht="12.75">
      <c r="A58">
        <v>2524.936590153827</v>
      </c>
      <c r="B58">
        <v>56</v>
      </c>
      <c r="C58">
        <v>24</v>
      </c>
      <c r="E58">
        <v>2540.4065901538274</v>
      </c>
      <c r="F58">
        <v>79</v>
      </c>
      <c r="G58">
        <v>24</v>
      </c>
      <c r="H58" s="93">
        <f t="shared" si="1"/>
        <v>15.470000000000255</v>
      </c>
      <c r="I58" s="93">
        <f>SUM(H56:H58)</f>
        <v>21.579999999999927</v>
      </c>
      <c r="J58" s="94">
        <f>SUM(G55:G58)</f>
        <v>96</v>
      </c>
      <c r="K58" s="109">
        <v>15</v>
      </c>
      <c r="L58" s="109">
        <f>ROUNDUP(E58,0)+18</f>
        <v>2559</v>
      </c>
      <c r="M58" s="110">
        <f>J58*1.25</f>
        <v>120</v>
      </c>
      <c r="O58" s="93">
        <f>M58*L58/1000/P$3/12*0.305*2</f>
        <v>20.539342105263156</v>
      </c>
      <c r="Q58" s="508">
        <v>2548.2167901538273</v>
      </c>
      <c r="R58">
        <v>79</v>
      </c>
      <c r="S58">
        <v>24</v>
      </c>
      <c r="T58" s="505">
        <f t="shared" si="2"/>
        <v>7.810199999999895</v>
      </c>
      <c r="U58">
        <f t="shared" si="0"/>
        <v>0</v>
      </c>
    </row>
    <row r="59" spans="1:21" ht="12.75">
      <c r="A59">
        <v>2469.013305750595</v>
      </c>
      <c r="B59">
        <v>57</v>
      </c>
      <c r="C59">
        <v>16</v>
      </c>
      <c r="E59">
        <v>2574.7519373389187</v>
      </c>
      <c r="F59">
        <v>32</v>
      </c>
      <c r="G59">
        <v>24</v>
      </c>
      <c r="H59" s="93">
        <f t="shared" si="1"/>
        <v>34.345347185091214</v>
      </c>
      <c r="K59" s="109"/>
      <c r="L59" s="109"/>
      <c r="M59" s="110"/>
      <c r="O59" s="93"/>
      <c r="Q59" s="507">
        <v>2582.5617373389186</v>
      </c>
      <c r="R59">
        <v>32</v>
      </c>
      <c r="S59">
        <v>24</v>
      </c>
      <c r="T59" s="505">
        <f t="shared" si="2"/>
        <v>7.809799999999996</v>
      </c>
      <c r="U59">
        <f t="shared" si="0"/>
        <v>0</v>
      </c>
    </row>
    <row r="60" spans="1:21" ht="12.75">
      <c r="A60">
        <v>2489.8886719228285</v>
      </c>
      <c r="B60">
        <v>58</v>
      </c>
      <c r="C60">
        <v>24</v>
      </c>
      <c r="E60">
        <v>2576.4119373389185</v>
      </c>
      <c r="F60">
        <v>9</v>
      </c>
      <c r="G60">
        <v>24</v>
      </c>
      <c r="H60" s="93">
        <f t="shared" si="1"/>
        <v>1.6599999999998545</v>
      </c>
      <c r="K60" s="109"/>
      <c r="L60" s="109"/>
      <c r="M60" s="110"/>
      <c r="O60" s="93"/>
      <c r="Q60" s="507">
        <v>2584.2217373389185</v>
      </c>
      <c r="R60">
        <v>9</v>
      </c>
      <c r="S60">
        <v>24</v>
      </c>
      <c r="T60" s="505">
        <f t="shared" si="2"/>
        <v>7.809799999999996</v>
      </c>
      <c r="U60">
        <f t="shared" si="0"/>
        <v>0</v>
      </c>
    </row>
    <row r="61" spans="1:21" ht="12.75">
      <c r="A61">
        <v>2433.919107103433</v>
      </c>
      <c r="B61">
        <v>59</v>
      </c>
      <c r="C61">
        <v>24</v>
      </c>
      <c r="E61">
        <v>2580.8619373389183</v>
      </c>
      <c r="F61">
        <v>55</v>
      </c>
      <c r="G61">
        <v>24</v>
      </c>
      <c r="H61" s="93">
        <f t="shared" si="1"/>
        <v>4.449999999999818</v>
      </c>
      <c r="K61" s="109"/>
      <c r="L61" s="109"/>
      <c r="M61" s="110"/>
      <c r="O61" s="93"/>
      <c r="Q61" s="507">
        <v>2588.6717373389183</v>
      </c>
      <c r="R61">
        <v>55</v>
      </c>
      <c r="S61">
        <v>24</v>
      </c>
      <c r="T61" s="505">
        <f t="shared" si="2"/>
        <v>7.809799999999996</v>
      </c>
      <c r="U61">
        <f t="shared" si="0"/>
        <v>0</v>
      </c>
    </row>
    <row r="62" spans="1:21" ht="12.75">
      <c r="A62">
        <v>2377.951831863627</v>
      </c>
      <c r="B62">
        <v>60</v>
      </c>
      <c r="C62">
        <v>16</v>
      </c>
      <c r="E62">
        <v>2596.3319373389186</v>
      </c>
      <c r="F62">
        <v>78</v>
      </c>
      <c r="G62">
        <v>24</v>
      </c>
      <c r="H62" s="93">
        <f t="shared" si="1"/>
        <v>15.470000000000255</v>
      </c>
      <c r="I62" s="93">
        <f>SUM(H60:H62)</f>
        <v>21.579999999999927</v>
      </c>
      <c r="J62" s="94">
        <f>SUM(G59:G62)</f>
        <v>96</v>
      </c>
      <c r="K62" s="109">
        <v>16</v>
      </c>
      <c r="L62" s="109">
        <f>ROUNDUP(E62,0)+18</f>
        <v>2615</v>
      </c>
      <c r="M62" s="110">
        <f>J62*1.25</f>
        <v>120</v>
      </c>
      <c r="O62" s="93">
        <f>M62*L62/1000/P$3/12*0.305*2</f>
        <v>20.988815789473684</v>
      </c>
      <c r="Q62" s="507">
        <v>2604.1417373389186</v>
      </c>
      <c r="R62">
        <v>78</v>
      </c>
      <c r="S62">
        <v>24</v>
      </c>
      <c r="T62" s="505">
        <f t="shared" si="2"/>
        <v>7.809799999999996</v>
      </c>
      <c r="U62">
        <f t="shared" si="0"/>
        <v>0</v>
      </c>
    </row>
    <row r="63" spans="1:21" ht="12.75">
      <c r="A63">
        <v>2129.0880560349133</v>
      </c>
      <c r="B63">
        <v>61</v>
      </c>
      <c r="C63">
        <v>24</v>
      </c>
      <c r="E63">
        <v>2665.3270177211066</v>
      </c>
      <c r="F63">
        <v>31</v>
      </c>
      <c r="G63">
        <v>24</v>
      </c>
      <c r="H63" s="93">
        <f t="shared" si="1"/>
        <v>68.99508038218801</v>
      </c>
      <c r="K63" s="109"/>
      <c r="L63" s="109"/>
      <c r="M63" s="110"/>
      <c r="O63" s="93"/>
      <c r="Q63" s="508">
        <v>2671.4608177211067</v>
      </c>
      <c r="R63">
        <v>31</v>
      </c>
      <c r="S63">
        <v>24</v>
      </c>
      <c r="T63" s="505">
        <f t="shared" si="2"/>
        <v>6.133800000000065</v>
      </c>
      <c r="U63">
        <f t="shared" si="0"/>
        <v>0</v>
      </c>
    </row>
    <row r="64" spans="1:21" ht="12.75">
      <c r="A64">
        <v>2073.0792323240157</v>
      </c>
      <c r="B64">
        <v>62</v>
      </c>
      <c r="C64">
        <v>24</v>
      </c>
      <c r="E64">
        <v>2666.9870177211064</v>
      </c>
      <c r="F64">
        <v>8</v>
      </c>
      <c r="G64">
        <v>8</v>
      </c>
      <c r="H64" s="93">
        <f t="shared" si="1"/>
        <v>1.6599999999998545</v>
      </c>
      <c r="K64" s="109"/>
      <c r="L64" s="109"/>
      <c r="M64" s="110"/>
      <c r="O64" s="93"/>
      <c r="Q64" s="508">
        <v>2673.1208177211065</v>
      </c>
      <c r="R64">
        <v>8</v>
      </c>
      <c r="S64">
        <v>8</v>
      </c>
      <c r="T64" s="505">
        <f t="shared" si="2"/>
        <v>6.133800000000065</v>
      </c>
      <c r="U64">
        <f t="shared" si="0"/>
        <v>0</v>
      </c>
    </row>
    <row r="65" spans="1:21" ht="12.75">
      <c r="A65">
        <v>2017.0733702814691</v>
      </c>
      <c r="B65">
        <v>63</v>
      </c>
      <c r="C65">
        <v>16</v>
      </c>
      <c r="E65">
        <v>2671.4370177211063</v>
      </c>
      <c r="F65">
        <v>54</v>
      </c>
      <c r="G65">
        <v>16</v>
      </c>
      <c r="H65" s="93">
        <f t="shared" si="1"/>
        <v>4.449999999999818</v>
      </c>
      <c r="K65" s="109"/>
      <c r="L65" s="109"/>
      <c r="M65" s="110"/>
      <c r="O65" s="93"/>
      <c r="Q65" s="508">
        <v>2677.5708177211063</v>
      </c>
      <c r="R65">
        <v>54</v>
      </c>
      <c r="S65">
        <v>16</v>
      </c>
      <c r="T65" s="505">
        <f t="shared" si="2"/>
        <v>6.133800000000065</v>
      </c>
      <c r="U65">
        <f t="shared" si="0"/>
        <v>0</v>
      </c>
    </row>
    <row r="66" spans="1:21" ht="12.75">
      <c r="A66">
        <v>1790.2531456933896</v>
      </c>
      <c r="B66">
        <v>64</v>
      </c>
      <c r="C66">
        <v>24</v>
      </c>
      <c r="E66">
        <v>2686.9070177211065</v>
      </c>
      <c r="F66">
        <v>77</v>
      </c>
      <c r="G66">
        <v>24</v>
      </c>
      <c r="H66" s="93">
        <f t="shared" si="1"/>
        <v>15.470000000000255</v>
      </c>
      <c r="I66" s="93">
        <f>SUM(H64:H66)</f>
        <v>21.579999999999927</v>
      </c>
      <c r="J66" s="94">
        <f>SUM(G63:G66)</f>
        <v>72</v>
      </c>
      <c r="K66" s="109">
        <v>17</v>
      </c>
      <c r="L66" s="109">
        <f>ROUNDUP(E66,0)+18</f>
        <v>2705</v>
      </c>
      <c r="M66" s="110">
        <f>J66*1.25</f>
        <v>90</v>
      </c>
      <c r="O66" s="93">
        <f>M66*L66/1000/P$3/12*0.305*2</f>
        <v>16.283388157894738</v>
      </c>
      <c r="Q66" s="508">
        <v>2693.0408177211066</v>
      </c>
      <c r="R66">
        <v>77</v>
      </c>
      <c r="S66">
        <v>24</v>
      </c>
      <c r="T66" s="505">
        <f t="shared" si="2"/>
        <v>6.133800000000065</v>
      </c>
      <c r="U66">
        <f t="shared" si="0"/>
        <v>0</v>
      </c>
    </row>
    <row r="67" spans="1:21" ht="12.75">
      <c r="A67">
        <v>1734.4110765471714</v>
      </c>
      <c r="B67">
        <v>65</v>
      </c>
      <c r="C67">
        <v>24</v>
      </c>
      <c r="E67">
        <v>2721.1994875457517</v>
      </c>
      <c r="F67">
        <v>30</v>
      </c>
      <c r="G67">
        <v>24</v>
      </c>
      <c r="H67" s="93">
        <f t="shared" si="1"/>
        <v>34.292469824645195</v>
      </c>
      <c r="K67" s="109"/>
      <c r="L67" s="109"/>
      <c r="M67" s="110"/>
      <c r="O67" s="93"/>
      <c r="Q67" s="507">
        <v>2727.344987545752</v>
      </c>
      <c r="R67">
        <v>30</v>
      </c>
      <c r="S67">
        <v>24</v>
      </c>
      <c r="T67" s="505">
        <f t="shared" si="2"/>
        <v>6.145500000000084</v>
      </c>
      <c r="U67">
        <f t="shared" si="0"/>
        <v>0</v>
      </c>
    </row>
    <row r="68" spans="1:21" ht="12.75">
      <c r="A68">
        <v>1406.6716931172548</v>
      </c>
      <c r="B68">
        <v>66</v>
      </c>
      <c r="C68">
        <v>24</v>
      </c>
      <c r="E68">
        <v>2722.8594875457516</v>
      </c>
      <c r="F68">
        <v>7</v>
      </c>
      <c r="G68">
        <v>24</v>
      </c>
      <c r="H68" s="93">
        <f t="shared" si="1"/>
        <v>1.6599999999998545</v>
      </c>
      <c r="K68" s="109"/>
      <c r="L68" s="109"/>
      <c r="M68" s="110"/>
      <c r="O68" s="93"/>
      <c r="Q68" s="507">
        <v>2729.0049875457516</v>
      </c>
      <c r="R68">
        <v>7</v>
      </c>
      <c r="S68">
        <v>24</v>
      </c>
      <c r="T68" s="505">
        <f t="shared" si="2"/>
        <v>6.145500000000084</v>
      </c>
      <c r="U68">
        <f aca="true" t="shared" si="3" ref="U68:U94">R68-F68</f>
        <v>0</v>
      </c>
    </row>
    <row r="69" spans="1:21" ht="12.75">
      <c r="A69">
        <v>1350.7051636997576</v>
      </c>
      <c r="B69">
        <v>67</v>
      </c>
      <c r="C69">
        <v>24</v>
      </c>
      <c r="E69">
        <v>2727.3094875457514</v>
      </c>
      <c r="F69">
        <v>53</v>
      </c>
      <c r="G69">
        <v>24</v>
      </c>
      <c r="H69" s="93">
        <f aca="true" t="shared" si="4" ref="H69:H94">E69-E68</f>
        <v>4.449999999999818</v>
      </c>
      <c r="K69" s="109"/>
      <c r="L69" s="109"/>
      <c r="M69" s="110"/>
      <c r="O69" s="93"/>
      <c r="Q69" s="507">
        <v>2733.4549875457515</v>
      </c>
      <c r="R69">
        <v>53</v>
      </c>
      <c r="S69">
        <v>24</v>
      </c>
      <c r="T69" s="505">
        <f aca="true" t="shared" si="5" ref="T69:T94">Q69-E69</f>
        <v>6.145500000000084</v>
      </c>
      <c r="U69">
        <f t="shared" si="3"/>
        <v>0</v>
      </c>
    </row>
    <row r="70" spans="1:21" ht="12.75">
      <c r="A70">
        <v>1262.4454316377742</v>
      </c>
      <c r="B70">
        <v>68</v>
      </c>
      <c r="C70">
        <v>0</v>
      </c>
      <c r="E70">
        <v>2742.7794875457516</v>
      </c>
      <c r="F70">
        <v>76</v>
      </c>
      <c r="G70">
        <v>24</v>
      </c>
      <c r="H70" s="93">
        <f t="shared" si="4"/>
        <v>15.470000000000255</v>
      </c>
      <c r="I70" s="93">
        <f>SUM(H68:H70)</f>
        <v>21.579999999999927</v>
      </c>
      <c r="J70" s="94">
        <f>SUM(G67:G70)</f>
        <v>96</v>
      </c>
      <c r="K70" s="109">
        <v>18</v>
      </c>
      <c r="L70" s="109">
        <f>ROUNDUP(E70,0)+18</f>
        <v>2761</v>
      </c>
      <c r="M70" s="110">
        <f>J70*1.25</f>
        <v>120</v>
      </c>
      <c r="O70" s="93">
        <f>M70*L70/1000/P$3/12*0.305*2</f>
        <v>22.16065789473684</v>
      </c>
      <c r="Q70" s="507">
        <v>2748.9249875457517</v>
      </c>
      <c r="R70">
        <v>76</v>
      </c>
      <c r="S70">
        <v>24</v>
      </c>
      <c r="T70" s="505">
        <f t="shared" si="5"/>
        <v>6.145500000000084</v>
      </c>
      <c r="U70">
        <f t="shared" si="3"/>
        <v>0</v>
      </c>
    </row>
    <row r="71" spans="1:21" ht="12.75">
      <c r="A71">
        <v>1206.4184853212935</v>
      </c>
      <c r="B71">
        <v>69</v>
      </c>
      <c r="C71">
        <v>24</v>
      </c>
      <c r="E71">
        <v>2777.073945092516</v>
      </c>
      <c r="F71">
        <v>29</v>
      </c>
      <c r="G71">
        <v>24</v>
      </c>
      <c r="H71" s="93">
        <f t="shared" si="4"/>
        <v>34.294457546764534</v>
      </c>
      <c r="K71" s="109"/>
      <c r="L71" s="109"/>
      <c r="M71" s="110"/>
      <c r="O71" s="93"/>
      <c r="Q71" s="508">
        <v>2783.2294450925165</v>
      </c>
      <c r="R71">
        <v>29</v>
      </c>
      <c r="S71">
        <v>24</v>
      </c>
      <c r="T71" s="505">
        <f t="shared" si="5"/>
        <v>6.155500000000302</v>
      </c>
      <c r="U71">
        <f t="shared" si="3"/>
        <v>0</v>
      </c>
    </row>
    <row r="72" spans="1:21" ht="12.75">
      <c r="A72">
        <v>2991.3488189462614</v>
      </c>
      <c r="B72">
        <v>70</v>
      </c>
      <c r="C72">
        <v>24</v>
      </c>
      <c r="E72">
        <v>2778.733945092516</v>
      </c>
      <c r="F72">
        <v>6</v>
      </c>
      <c r="G72">
        <v>24</v>
      </c>
      <c r="H72" s="93">
        <f t="shared" si="4"/>
        <v>1.6599999999998545</v>
      </c>
      <c r="K72" s="109"/>
      <c r="L72" s="109"/>
      <c r="M72" s="110"/>
      <c r="O72" s="93"/>
      <c r="Q72" s="508">
        <v>2784.8894450925163</v>
      </c>
      <c r="R72">
        <v>6</v>
      </c>
      <c r="S72">
        <v>24</v>
      </c>
      <c r="T72" s="505">
        <f t="shared" si="5"/>
        <v>6.155500000000302</v>
      </c>
      <c r="U72">
        <f t="shared" si="3"/>
        <v>0</v>
      </c>
    </row>
    <row r="73" spans="1:21" ht="12.75">
      <c r="A73">
        <v>2935.5887536904124</v>
      </c>
      <c r="B73">
        <v>71</v>
      </c>
      <c r="C73">
        <v>24</v>
      </c>
      <c r="E73">
        <v>2783.183945092516</v>
      </c>
      <c r="F73">
        <v>52</v>
      </c>
      <c r="G73">
        <v>24</v>
      </c>
      <c r="H73" s="93">
        <f t="shared" si="4"/>
        <v>4.449999999999818</v>
      </c>
      <c r="K73" s="109"/>
      <c r="L73" s="109"/>
      <c r="M73" s="110"/>
      <c r="O73" s="93"/>
      <c r="Q73" s="508">
        <v>2789.339445092516</v>
      </c>
      <c r="R73">
        <v>52</v>
      </c>
      <c r="S73">
        <v>24</v>
      </c>
      <c r="T73" s="505">
        <f t="shared" si="5"/>
        <v>6.155500000000302</v>
      </c>
      <c r="U73">
        <f t="shared" si="3"/>
        <v>0</v>
      </c>
    </row>
    <row r="74" spans="1:21" ht="12.75">
      <c r="A74">
        <v>2953.4870987394306</v>
      </c>
      <c r="B74">
        <v>72</v>
      </c>
      <c r="C74">
        <v>24</v>
      </c>
      <c r="E74">
        <v>2798.653945092516</v>
      </c>
      <c r="F74">
        <v>75</v>
      </c>
      <c r="G74">
        <v>24</v>
      </c>
      <c r="H74" s="93">
        <f t="shared" si="4"/>
        <v>15.470000000000255</v>
      </c>
      <c r="I74" s="93">
        <f>SUM(H72:H74)</f>
        <v>21.579999999999927</v>
      </c>
      <c r="J74" s="94">
        <f>SUM(G71:G74)</f>
        <v>96</v>
      </c>
      <c r="K74" s="109">
        <v>19</v>
      </c>
      <c r="L74" s="109">
        <f>ROUNDUP(E74,0)+18</f>
        <v>2817</v>
      </c>
      <c r="M74" s="110">
        <f>J74*1.25</f>
        <v>120</v>
      </c>
      <c r="O74" s="93">
        <f>M74*L74/1000/P$3/12*0.305*2</f>
        <v>22.610131578947367</v>
      </c>
      <c r="Q74" s="508">
        <v>2804.8094450925164</v>
      </c>
      <c r="R74">
        <v>75</v>
      </c>
      <c r="S74">
        <v>24</v>
      </c>
      <c r="T74" s="505">
        <f t="shared" si="5"/>
        <v>6.155500000000302</v>
      </c>
      <c r="U74">
        <f t="shared" si="3"/>
        <v>0</v>
      </c>
    </row>
    <row r="75" spans="1:21" ht="12.75">
      <c r="A75">
        <v>2897.6678962681626</v>
      </c>
      <c r="B75">
        <v>73</v>
      </c>
      <c r="C75">
        <v>24</v>
      </c>
      <c r="E75">
        <v>2820.2706729532124</v>
      </c>
      <c r="F75">
        <v>28</v>
      </c>
      <c r="G75">
        <v>24</v>
      </c>
      <c r="H75" s="93">
        <f t="shared" si="4"/>
        <v>21.6167278606963</v>
      </c>
      <c r="K75" s="109"/>
      <c r="L75" s="109"/>
      <c r="M75" s="110"/>
      <c r="O75" s="93"/>
      <c r="Q75" s="507">
        <v>2824.2028729532126</v>
      </c>
      <c r="R75">
        <v>28</v>
      </c>
      <c r="S75">
        <v>24</v>
      </c>
      <c r="T75" s="505">
        <f t="shared" si="5"/>
        <v>3.9322000000001935</v>
      </c>
      <c r="U75">
        <f t="shared" si="3"/>
        <v>0</v>
      </c>
    </row>
    <row r="76" spans="1:21" ht="12.75">
      <c r="A76">
        <v>2841.8506729532123</v>
      </c>
      <c r="B76">
        <v>74</v>
      </c>
      <c r="C76">
        <v>24</v>
      </c>
      <c r="E76">
        <v>2821.9306729532123</v>
      </c>
      <c r="F76">
        <v>5</v>
      </c>
      <c r="G76">
        <v>8</v>
      </c>
      <c r="H76" s="93">
        <f t="shared" si="4"/>
        <v>1.6599999999998545</v>
      </c>
      <c r="K76" s="109"/>
      <c r="L76" s="109"/>
      <c r="M76" s="110"/>
      <c r="O76" s="93"/>
      <c r="Q76" s="507">
        <v>2825.8628729532124</v>
      </c>
      <c r="R76">
        <v>5</v>
      </c>
      <c r="S76">
        <v>8</v>
      </c>
      <c r="T76" s="505">
        <f t="shared" si="5"/>
        <v>3.9322000000001935</v>
      </c>
      <c r="U76">
        <f t="shared" si="3"/>
        <v>0</v>
      </c>
    </row>
    <row r="77" spans="1:21" ht="12.75">
      <c r="A77">
        <v>2798.653945092516</v>
      </c>
      <c r="B77">
        <v>75</v>
      </c>
      <c r="C77">
        <v>24</v>
      </c>
      <c r="E77">
        <v>2826.380672953212</v>
      </c>
      <c r="F77">
        <v>51</v>
      </c>
      <c r="G77">
        <v>16</v>
      </c>
      <c r="H77" s="93">
        <f t="shared" si="4"/>
        <v>4.449999999999818</v>
      </c>
      <c r="K77" s="109"/>
      <c r="L77" s="109"/>
      <c r="M77" s="110"/>
      <c r="O77" s="93"/>
      <c r="Q77" s="507">
        <v>2830.3128729532123</v>
      </c>
      <c r="R77">
        <v>51</v>
      </c>
      <c r="S77">
        <v>16</v>
      </c>
      <c r="T77" s="505">
        <f t="shared" si="5"/>
        <v>3.9322000000001935</v>
      </c>
      <c r="U77">
        <f t="shared" si="3"/>
        <v>0</v>
      </c>
    </row>
    <row r="78" spans="1:21" ht="12.75">
      <c r="A78">
        <v>2742.7794875457516</v>
      </c>
      <c r="B78">
        <v>76</v>
      </c>
      <c r="C78">
        <v>24</v>
      </c>
      <c r="E78">
        <v>2841.8506729532123</v>
      </c>
      <c r="F78">
        <v>74</v>
      </c>
      <c r="G78">
        <v>24</v>
      </c>
      <c r="H78" s="93">
        <f t="shared" si="4"/>
        <v>15.470000000000255</v>
      </c>
      <c r="I78" s="93">
        <f>SUM(H76:H78)</f>
        <v>21.579999999999927</v>
      </c>
      <c r="J78" s="94">
        <f>SUM(G75:G78)</f>
        <v>72</v>
      </c>
      <c r="K78" s="109">
        <v>20</v>
      </c>
      <c r="L78" s="109">
        <f>ROUNDUP(E78,0)+18</f>
        <v>2860</v>
      </c>
      <c r="M78" s="110">
        <f>J78*1.25</f>
        <v>90</v>
      </c>
      <c r="O78" s="93">
        <f>M78*L78/1000/P$3/12*0.305*2</f>
        <v>17.21644736842105</v>
      </c>
      <c r="Q78" s="507">
        <v>2845.7828729532125</v>
      </c>
      <c r="R78">
        <v>74</v>
      </c>
      <c r="S78">
        <v>24</v>
      </c>
      <c r="T78" s="505">
        <f t="shared" si="5"/>
        <v>3.9322000000001935</v>
      </c>
      <c r="U78">
        <f t="shared" si="3"/>
        <v>0</v>
      </c>
    </row>
    <row r="79" spans="1:21" ht="12.75">
      <c r="A79">
        <v>2686.9070177211065</v>
      </c>
      <c r="B79">
        <v>77</v>
      </c>
      <c r="C79">
        <v>24</v>
      </c>
      <c r="E79">
        <v>2876.0878962681627</v>
      </c>
      <c r="F79">
        <v>27</v>
      </c>
      <c r="G79">
        <v>24</v>
      </c>
      <c r="H79" s="93">
        <f t="shared" si="4"/>
        <v>34.23722331495037</v>
      </c>
      <c r="K79" s="109"/>
      <c r="L79" s="109"/>
      <c r="M79" s="110"/>
      <c r="O79" s="93"/>
      <c r="Q79" s="508">
        <v>2880.041496268163</v>
      </c>
      <c r="R79">
        <v>27</v>
      </c>
      <c r="S79">
        <v>24</v>
      </c>
      <c r="T79" s="505">
        <f t="shared" si="5"/>
        <v>3.9536000000002787</v>
      </c>
      <c r="U79">
        <f t="shared" si="3"/>
        <v>0</v>
      </c>
    </row>
    <row r="80" spans="1:21" ht="12.75">
      <c r="A80">
        <v>2596.3319373389186</v>
      </c>
      <c r="B80">
        <v>78</v>
      </c>
      <c r="C80">
        <v>24</v>
      </c>
      <c r="E80">
        <v>2877.7478962681625</v>
      </c>
      <c r="F80">
        <v>4</v>
      </c>
      <c r="G80">
        <v>24</v>
      </c>
      <c r="H80" s="93">
        <f t="shared" si="4"/>
        <v>1.6599999999998545</v>
      </c>
      <c r="K80" s="109"/>
      <c r="L80" s="109"/>
      <c r="M80" s="110"/>
      <c r="O80" s="93"/>
      <c r="Q80" s="508">
        <v>2881.701496268163</v>
      </c>
      <c r="R80">
        <v>4</v>
      </c>
      <c r="S80">
        <v>24</v>
      </c>
      <c r="T80" s="505">
        <f t="shared" si="5"/>
        <v>3.9536000000002787</v>
      </c>
      <c r="U80">
        <f t="shared" si="3"/>
        <v>0</v>
      </c>
    </row>
    <row r="81" spans="1:21" ht="12.75">
      <c r="A81">
        <v>2540.4065901538274</v>
      </c>
      <c r="B81">
        <v>79</v>
      </c>
      <c r="C81">
        <v>24</v>
      </c>
      <c r="E81">
        <v>2882.1978962681624</v>
      </c>
      <c r="F81">
        <v>50</v>
      </c>
      <c r="G81">
        <v>24</v>
      </c>
      <c r="H81" s="93">
        <f t="shared" si="4"/>
        <v>4.449999999999818</v>
      </c>
      <c r="K81" s="109"/>
      <c r="L81" s="109"/>
      <c r="M81" s="110"/>
      <c r="O81" s="93"/>
      <c r="Q81" s="508">
        <v>2886.1514962681626</v>
      </c>
      <c r="R81">
        <v>50</v>
      </c>
      <c r="S81">
        <v>24</v>
      </c>
      <c r="T81" s="505">
        <f t="shared" si="5"/>
        <v>3.9536000000002787</v>
      </c>
      <c r="U81">
        <f t="shared" si="3"/>
        <v>0</v>
      </c>
    </row>
    <row r="82" spans="1:21" ht="12.75">
      <c r="A82">
        <v>2484.4833057505953</v>
      </c>
      <c r="B82">
        <v>80</v>
      </c>
      <c r="C82">
        <v>24</v>
      </c>
      <c r="E82">
        <v>2897.6678962681626</v>
      </c>
      <c r="F82">
        <v>73</v>
      </c>
      <c r="G82">
        <v>24</v>
      </c>
      <c r="H82" s="93">
        <f t="shared" si="4"/>
        <v>15.470000000000255</v>
      </c>
      <c r="I82" s="93">
        <f>SUM(H80:H82)</f>
        <v>21.579999999999927</v>
      </c>
      <c r="J82" s="94">
        <f>SUM(G79:G82)</f>
        <v>96</v>
      </c>
      <c r="K82" s="109">
        <v>21</v>
      </c>
      <c r="L82" s="109">
        <f>ROUNDUP(E82,0)+18</f>
        <v>2916</v>
      </c>
      <c r="M82" s="110">
        <f>J82*1.25</f>
        <v>120</v>
      </c>
      <c r="O82" s="93">
        <f>M82*L82/1000/P$3/12*0.305*2</f>
        <v>23.404736842105265</v>
      </c>
      <c r="Q82" s="508">
        <v>2901.621496268163</v>
      </c>
      <c r="R82">
        <v>73</v>
      </c>
      <c r="S82">
        <v>24</v>
      </c>
      <c r="T82" s="505">
        <f t="shared" si="5"/>
        <v>3.9536000000002787</v>
      </c>
      <c r="U82">
        <f t="shared" si="3"/>
        <v>0</v>
      </c>
    </row>
    <row r="83" spans="1:21" ht="12.75">
      <c r="A83">
        <v>2505.3586719228288</v>
      </c>
      <c r="B83">
        <v>81</v>
      </c>
      <c r="C83">
        <v>24</v>
      </c>
      <c r="E83">
        <v>2914.0087536904125</v>
      </c>
      <c r="F83">
        <v>25</v>
      </c>
      <c r="G83">
        <v>24</v>
      </c>
      <c r="H83" s="93">
        <f t="shared" si="4"/>
        <v>16.340857422249883</v>
      </c>
      <c r="K83" s="109"/>
      <c r="L83" s="109"/>
      <c r="M83" s="110"/>
      <c r="O83" s="93"/>
      <c r="Q83" s="507">
        <v>2915.3075536904125</v>
      </c>
      <c r="R83">
        <v>25</v>
      </c>
      <c r="S83">
        <v>24</v>
      </c>
      <c r="T83" s="505">
        <f t="shared" si="5"/>
        <v>1.2988000000000284</v>
      </c>
      <c r="U83">
        <f t="shared" si="3"/>
        <v>0</v>
      </c>
    </row>
    <row r="84" spans="1:21" ht="12.75">
      <c r="A84">
        <v>2449.389107103433</v>
      </c>
      <c r="B84">
        <v>82</v>
      </c>
      <c r="C84">
        <v>24</v>
      </c>
      <c r="E84">
        <v>2915.6687536904124</v>
      </c>
      <c r="F84">
        <v>2</v>
      </c>
      <c r="G84">
        <v>24</v>
      </c>
      <c r="H84" s="93">
        <f t="shared" si="4"/>
        <v>1.6599999999998545</v>
      </c>
      <c r="K84" s="109"/>
      <c r="L84" s="109"/>
      <c r="M84" s="110"/>
      <c r="O84" s="93"/>
      <c r="Q84" s="507">
        <v>2916.9675536904124</v>
      </c>
      <c r="R84">
        <v>2</v>
      </c>
      <c r="S84">
        <v>24</v>
      </c>
      <c r="T84" s="505">
        <f t="shared" si="5"/>
        <v>1.2988000000000284</v>
      </c>
      <c r="U84">
        <f t="shared" si="3"/>
        <v>0</v>
      </c>
    </row>
    <row r="85" spans="1:21" ht="12.75">
      <c r="A85">
        <v>2393.421831863627</v>
      </c>
      <c r="B85">
        <v>83</v>
      </c>
      <c r="C85">
        <v>24</v>
      </c>
      <c r="E85">
        <v>2920.118753690412</v>
      </c>
      <c r="F85">
        <v>48</v>
      </c>
      <c r="G85">
        <v>24</v>
      </c>
      <c r="H85" s="93">
        <f t="shared" si="4"/>
        <v>4.449999999999818</v>
      </c>
      <c r="K85" s="109"/>
      <c r="L85" s="109"/>
      <c r="M85" s="110"/>
      <c r="O85" s="93"/>
      <c r="Q85" s="507">
        <v>2921.417553690412</v>
      </c>
      <c r="R85">
        <v>48</v>
      </c>
      <c r="S85">
        <v>24</v>
      </c>
      <c r="T85" s="505">
        <f t="shared" si="5"/>
        <v>1.2988000000000284</v>
      </c>
      <c r="U85">
        <f t="shared" si="3"/>
        <v>0</v>
      </c>
    </row>
    <row r="86" spans="1:21" ht="12.75">
      <c r="A86">
        <v>2144.5580560349135</v>
      </c>
      <c r="B86">
        <v>84</v>
      </c>
      <c r="C86">
        <v>24</v>
      </c>
      <c r="E86">
        <v>2931.9070987394307</v>
      </c>
      <c r="F86">
        <v>26</v>
      </c>
      <c r="G86">
        <v>24</v>
      </c>
      <c r="H86" s="93">
        <f t="shared" si="4"/>
        <v>11.788345049018517</v>
      </c>
      <c r="K86" s="109"/>
      <c r="L86" s="109"/>
      <c r="M86" s="110"/>
      <c r="O86" s="93"/>
      <c r="Q86" s="507">
        <v>2935.8817987394305</v>
      </c>
      <c r="R86">
        <v>26</v>
      </c>
      <c r="S86">
        <v>24</v>
      </c>
      <c r="T86" s="505">
        <f t="shared" si="5"/>
        <v>3.974699999999757</v>
      </c>
      <c r="U86">
        <f t="shared" si="3"/>
        <v>0</v>
      </c>
    </row>
    <row r="87" spans="1:21" ht="12.75">
      <c r="A87">
        <v>2088.549232324016</v>
      </c>
      <c r="B87">
        <v>85</v>
      </c>
      <c r="C87">
        <v>24</v>
      </c>
      <c r="E87">
        <v>2933.5670987394305</v>
      </c>
      <c r="F87">
        <v>3</v>
      </c>
      <c r="G87">
        <v>24</v>
      </c>
      <c r="H87" s="93">
        <f t="shared" si="4"/>
        <v>1.6599999999998545</v>
      </c>
      <c r="I87" s="93">
        <f>SUM(H84:H87)</f>
        <v>19.558345049018044</v>
      </c>
      <c r="J87" s="94">
        <f>SUM(G83:G87)</f>
        <v>120</v>
      </c>
      <c r="K87" s="109">
        <v>22</v>
      </c>
      <c r="L87" s="109">
        <f>ROUNDUP(E87,0)+18</f>
        <v>2952</v>
      </c>
      <c r="M87" s="110">
        <f>J87*1.25</f>
        <v>150</v>
      </c>
      <c r="O87" s="93">
        <f>M87*L87/1000/P$3/12*0.305*2</f>
        <v>29.617105263157896</v>
      </c>
      <c r="Q87" s="507">
        <v>2936.8875536904125</v>
      </c>
      <c r="R87">
        <v>71</v>
      </c>
      <c r="S87">
        <v>24</v>
      </c>
      <c r="T87" s="505">
        <f t="shared" si="5"/>
        <v>3.3204549509819117</v>
      </c>
      <c r="U87">
        <f t="shared" si="3"/>
        <v>68</v>
      </c>
    </row>
    <row r="88" spans="1:21" ht="12.75">
      <c r="A88">
        <v>2032.5433702814692</v>
      </c>
      <c r="B88">
        <v>86</v>
      </c>
      <c r="C88">
        <v>24</v>
      </c>
      <c r="E88">
        <v>2935.5887536904124</v>
      </c>
      <c r="F88">
        <v>71</v>
      </c>
      <c r="G88">
        <v>24</v>
      </c>
      <c r="H88" s="93">
        <f t="shared" si="4"/>
        <v>2.0216549509818833</v>
      </c>
      <c r="K88" s="109"/>
      <c r="L88" s="109"/>
      <c r="M88" s="110"/>
      <c r="O88" s="93"/>
      <c r="Q88" s="508">
        <v>2937.5417987394303</v>
      </c>
      <c r="R88">
        <v>3</v>
      </c>
      <c r="S88">
        <v>24</v>
      </c>
      <c r="T88" s="505">
        <f t="shared" si="5"/>
        <v>1.9530450490178737</v>
      </c>
      <c r="U88">
        <f t="shared" si="3"/>
        <v>-68</v>
      </c>
    </row>
    <row r="89" spans="1:21" ht="12.75">
      <c r="A89">
        <v>1805.7231456933896</v>
      </c>
      <c r="B89">
        <v>87</v>
      </c>
      <c r="C89">
        <v>24</v>
      </c>
      <c r="E89">
        <v>2938.0170987394304</v>
      </c>
      <c r="F89">
        <v>49</v>
      </c>
      <c r="G89">
        <v>24</v>
      </c>
      <c r="H89" s="93">
        <f t="shared" si="4"/>
        <v>2.428345049017935</v>
      </c>
      <c r="K89" s="109"/>
      <c r="L89" s="109"/>
      <c r="M89" s="110"/>
      <c r="O89" s="93"/>
      <c r="Q89" s="508">
        <v>2941.99179873943</v>
      </c>
      <c r="R89">
        <v>49</v>
      </c>
      <c r="S89">
        <v>24</v>
      </c>
      <c r="T89" s="505">
        <f t="shared" si="5"/>
        <v>3.974699999999757</v>
      </c>
      <c r="U89">
        <f t="shared" si="3"/>
        <v>0</v>
      </c>
    </row>
    <row r="90" spans="1:21" ht="12.75">
      <c r="A90">
        <v>1749.8810765471715</v>
      </c>
      <c r="B90">
        <v>88</v>
      </c>
      <c r="C90">
        <v>24</v>
      </c>
      <c r="E90">
        <v>2953.4870987394306</v>
      </c>
      <c r="F90">
        <v>72</v>
      </c>
      <c r="G90">
        <v>24</v>
      </c>
      <c r="H90" s="93">
        <f t="shared" si="4"/>
        <v>15.470000000000255</v>
      </c>
      <c r="I90" s="93">
        <f>SUM(H89:H90)</f>
        <v>17.89834504901819</v>
      </c>
      <c r="J90" s="94">
        <f>SUM(G88:G90)</f>
        <v>72</v>
      </c>
      <c r="K90" s="109">
        <v>23</v>
      </c>
      <c r="L90" s="109">
        <f>ROUNDUP(E90,0)+18</f>
        <v>2972</v>
      </c>
      <c r="M90" s="110">
        <f>J90*1.25</f>
        <v>90</v>
      </c>
      <c r="O90" s="93">
        <f>M90*L90/1000/P$3/12*0.305*2</f>
        <v>17.890657894736844</v>
      </c>
      <c r="Q90" s="508">
        <v>2957.4617987394304</v>
      </c>
      <c r="R90">
        <v>72</v>
      </c>
      <c r="S90">
        <v>24</v>
      </c>
      <c r="T90" s="505">
        <f t="shared" si="5"/>
        <v>3.974699999999757</v>
      </c>
      <c r="U90">
        <f t="shared" si="3"/>
        <v>0</v>
      </c>
    </row>
    <row r="91" spans="1:21" ht="12.75">
      <c r="A91">
        <v>1422.1416931172548</v>
      </c>
      <c r="B91">
        <v>89</v>
      </c>
      <c r="C91">
        <v>24</v>
      </c>
      <c r="E91">
        <v>2969.7688189462615</v>
      </c>
      <c r="F91">
        <v>24</v>
      </c>
      <c r="G91">
        <v>24</v>
      </c>
      <c r="H91" s="93">
        <f t="shared" si="4"/>
        <v>16.28172020683087</v>
      </c>
      <c r="K91" s="109"/>
      <c r="L91" s="109"/>
      <c r="M91" s="110"/>
      <c r="O91" s="93"/>
      <c r="Q91" s="507">
        <v>2971.1011189462615</v>
      </c>
      <c r="R91">
        <v>24</v>
      </c>
      <c r="S91">
        <v>24</v>
      </c>
      <c r="T91" s="505">
        <f t="shared" si="5"/>
        <v>1.332300000000032</v>
      </c>
      <c r="U91">
        <f t="shared" si="3"/>
        <v>0</v>
      </c>
    </row>
    <row r="92" spans="1:21" ht="12.75">
      <c r="A92">
        <v>1366.1751636997576</v>
      </c>
      <c r="B92">
        <v>90</v>
      </c>
      <c r="C92">
        <v>24</v>
      </c>
      <c r="E92">
        <v>2971.4288189462613</v>
      </c>
      <c r="F92">
        <v>1</v>
      </c>
      <c r="G92">
        <v>16</v>
      </c>
      <c r="H92" s="93">
        <f t="shared" si="4"/>
        <v>1.6599999999998545</v>
      </c>
      <c r="K92" s="109"/>
      <c r="L92" s="109"/>
      <c r="M92" s="110"/>
      <c r="O92" s="93"/>
      <c r="Q92" s="507">
        <v>2972.7611189462614</v>
      </c>
      <c r="R92">
        <v>1</v>
      </c>
      <c r="S92">
        <v>16</v>
      </c>
      <c r="T92" s="505">
        <f t="shared" si="5"/>
        <v>1.332300000000032</v>
      </c>
      <c r="U92">
        <f t="shared" si="3"/>
        <v>0</v>
      </c>
    </row>
    <row r="93" spans="1:21" ht="12.75">
      <c r="A93">
        <v>1277.9154316377742</v>
      </c>
      <c r="B93">
        <v>91</v>
      </c>
      <c r="C93">
        <v>8</v>
      </c>
      <c r="E93">
        <v>2975.878818946261</v>
      </c>
      <c r="F93">
        <v>47</v>
      </c>
      <c r="G93">
        <v>24</v>
      </c>
      <c r="H93" s="93">
        <f t="shared" si="4"/>
        <v>4.449999999999818</v>
      </c>
      <c r="K93" s="109"/>
      <c r="L93" s="109"/>
      <c r="M93" s="110"/>
      <c r="O93" s="93"/>
      <c r="Q93" s="507">
        <v>2977.211118946261</v>
      </c>
      <c r="R93">
        <v>47</v>
      </c>
      <c r="S93">
        <v>24</v>
      </c>
      <c r="T93" s="505">
        <f t="shared" si="5"/>
        <v>1.332300000000032</v>
      </c>
      <c r="U93">
        <f t="shared" si="3"/>
        <v>0</v>
      </c>
    </row>
    <row r="94" spans="1:21" ht="13.5" thickBot="1">
      <c r="A94">
        <v>1221.8884853212935</v>
      </c>
      <c r="B94">
        <v>92</v>
      </c>
      <c r="C94">
        <v>16</v>
      </c>
      <c r="E94">
        <v>2991.3488189462614</v>
      </c>
      <c r="F94">
        <v>70</v>
      </c>
      <c r="G94">
        <v>24</v>
      </c>
      <c r="H94" s="93">
        <f t="shared" si="4"/>
        <v>15.470000000000255</v>
      </c>
      <c r="I94" s="93">
        <f>SUM(H92:H94)</f>
        <v>21.579999999999927</v>
      </c>
      <c r="J94" s="94">
        <f>SUM(G91:G94)</f>
        <v>88</v>
      </c>
      <c r="K94" s="109">
        <v>24</v>
      </c>
      <c r="L94" s="109">
        <f>ROUNDUP(E94,0)+18</f>
        <v>3010</v>
      </c>
      <c r="M94" s="110">
        <f>J94*1.25</f>
        <v>110</v>
      </c>
      <c r="O94" s="93">
        <f>M94*L94/1000/P$3/12*0.305*2</f>
        <v>22.145942982456145</v>
      </c>
      <c r="Q94" s="507">
        <v>2992.6811189462614</v>
      </c>
      <c r="R94">
        <v>70</v>
      </c>
      <c r="S94">
        <v>24</v>
      </c>
      <c r="T94" s="505">
        <f t="shared" si="5"/>
        <v>1.332300000000032</v>
      </c>
      <c r="U94">
        <f t="shared" si="3"/>
        <v>0</v>
      </c>
    </row>
    <row r="95" spans="9:15" ht="13.5" thickBot="1">
      <c r="I95" s="102" t="s">
        <v>101</v>
      </c>
      <c r="J95" s="103">
        <f>SUM(J3:J94)</f>
        <v>1976</v>
      </c>
      <c r="K95" s="111"/>
      <c r="L95" s="111"/>
      <c r="M95" s="112">
        <f>SUM(M3:M94)</f>
        <v>2470</v>
      </c>
      <c r="N95" s="102"/>
      <c r="O95" s="104">
        <f>SUM(O3:O94)</f>
        <v>389.19203947368413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I18" sqref="I18"/>
    </sheetView>
  </sheetViews>
  <sheetFormatPr defaultColWidth="9.140625" defaultRowHeight="12.75"/>
  <sheetData>
    <row r="1" spans="1:6" s="1" customFormat="1" ht="26.25" thickBot="1">
      <c r="A1" s="126" t="s">
        <v>126</v>
      </c>
      <c r="B1" s="127" t="s">
        <v>103</v>
      </c>
      <c r="C1" s="127" t="s">
        <v>106</v>
      </c>
      <c r="D1" s="127" t="s">
        <v>127</v>
      </c>
      <c r="E1" s="127" t="s">
        <v>128</v>
      </c>
      <c r="F1" s="128" t="s">
        <v>129</v>
      </c>
    </row>
    <row r="2" spans="1:6" ht="14.25" thickBot="1" thickTop="1">
      <c r="A2" s="118">
        <v>1</v>
      </c>
      <c r="B2" s="119">
        <v>1240</v>
      </c>
      <c r="C2" s="119">
        <v>100</v>
      </c>
      <c r="D2" s="119">
        <v>1</v>
      </c>
      <c r="E2" s="120"/>
      <c r="F2" s="121"/>
    </row>
    <row r="3" spans="1:6" ht="14.25" thickBot="1" thickTop="1">
      <c r="A3" s="118">
        <v>2</v>
      </c>
      <c r="B3" s="119">
        <v>1296</v>
      </c>
      <c r="C3" s="119">
        <v>30</v>
      </c>
      <c r="D3" s="119">
        <v>1</v>
      </c>
      <c r="E3" s="120"/>
      <c r="F3" s="121"/>
    </row>
    <row r="4" spans="1:6" ht="14.25" thickBot="1" thickTop="1">
      <c r="A4" s="118">
        <v>3</v>
      </c>
      <c r="B4" s="119">
        <v>1385</v>
      </c>
      <c r="C4" s="119">
        <v>120</v>
      </c>
      <c r="D4" s="119">
        <v>1</v>
      </c>
      <c r="E4" s="120"/>
      <c r="F4" s="121"/>
    </row>
    <row r="5" spans="1:6" ht="14.25" thickBot="1" thickTop="1">
      <c r="A5" s="118">
        <v>4</v>
      </c>
      <c r="B5" s="119">
        <v>1441</v>
      </c>
      <c r="C5" s="119">
        <v>110</v>
      </c>
      <c r="D5" s="119">
        <v>1</v>
      </c>
      <c r="E5" s="120"/>
      <c r="F5" s="121"/>
    </row>
    <row r="6" spans="1:6" ht="14.25" thickBot="1" thickTop="1">
      <c r="A6" s="118">
        <v>5</v>
      </c>
      <c r="B6" s="119">
        <v>1768</v>
      </c>
      <c r="C6" s="119">
        <v>120</v>
      </c>
      <c r="D6" s="119">
        <v>1</v>
      </c>
      <c r="E6" s="120">
        <v>480</v>
      </c>
      <c r="F6" s="122">
        <v>37876</v>
      </c>
    </row>
    <row r="7" spans="1:6" ht="14.25" thickBot="1" thickTop="1">
      <c r="A7" s="118">
        <v>6</v>
      </c>
      <c r="B7" s="119">
        <v>1824</v>
      </c>
      <c r="C7" s="119">
        <v>110</v>
      </c>
      <c r="D7" s="119">
        <v>2</v>
      </c>
      <c r="E7" s="120"/>
      <c r="F7" s="121"/>
    </row>
    <row r="8" spans="1:6" ht="14.25" thickBot="1" thickTop="1">
      <c r="A8" s="118">
        <v>7</v>
      </c>
      <c r="B8" s="119">
        <v>2051</v>
      </c>
      <c r="C8" s="119">
        <v>90</v>
      </c>
      <c r="D8" s="119">
        <v>2</v>
      </c>
      <c r="E8" s="120"/>
      <c r="F8" s="121"/>
    </row>
    <row r="9" spans="1:6" ht="14.25" thickBot="1" thickTop="1">
      <c r="A9" s="118">
        <v>8</v>
      </c>
      <c r="B9" s="119">
        <v>2107</v>
      </c>
      <c r="C9" s="119">
        <v>120</v>
      </c>
      <c r="D9" s="119">
        <v>2</v>
      </c>
      <c r="E9" s="120"/>
      <c r="F9" s="121"/>
    </row>
    <row r="10" spans="1:6" ht="14.25" thickBot="1" thickTop="1">
      <c r="A10" s="118">
        <v>9</v>
      </c>
      <c r="B10" s="119">
        <v>2163</v>
      </c>
      <c r="C10" s="119">
        <v>120</v>
      </c>
      <c r="D10" s="119">
        <v>2</v>
      </c>
      <c r="E10" s="120"/>
      <c r="F10" s="121"/>
    </row>
    <row r="11" spans="1:6" ht="14.25" thickBot="1" thickTop="1">
      <c r="A11" s="118">
        <v>10</v>
      </c>
      <c r="B11" s="119">
        <v>2412</v>
      </c>
      <c r="C11" s="119">
        <v>90</v>
      </c>
      <c r="D11" s="119">
        <v>2</v>
      </c>
      <c r="E11" s="120">
        <v>530</v>
      </c>
      <c r="F11" s="121" t="s">
        <v>130</v>
      </c>
    </row>
    <row r="12" spans="1:6" ht="14.25" thickBot="1" thickTop="1">
      <c r="A12" s="118">
        <v>11</v>
      </c>
      <c r="B12" s="119">
        <v>2452</v>
      </c>
      <c r="C12" s="119">
        <v>90</v>
      </c>
      <c r="D12" s="119">
        <v>3</v>
      </c>
      <c r="E12" s="120"/>
      <c r="F12" s="121"/>
    </row>
    <row r="13" spans="1:6" ht="14.25" thickBot="1" thickTop="1">
      <c r="A13" s="118">
        <v>12</v>
      </c>
      <c r="B13" s="119">
        <v>2483</v>
      </c>
      <c r="C13" s="119">
        <v>70</v>
      </c>
      <c r="D13" s="119">
        <v>3</v>
      </c>
      <c r="E13" s="120"/>
      <c r="F13" s="121"/>
    </row>
    <row r="14" spans="1:6" ht="14.25" thickBot="1" thickTop="1">
      <c r="A14" s="118">
        <v>13</v>
      </c>
      <c r="B14" s="119">
        <v>2503</v>
      </c>
      <c r="C14" s="119">
        <v>80</v>
      </c>
      <c r="D14" s="119">
        <v>3</v>
      </c>
      <c r="E14" s="120"/>
      <c r="F14" s="121"/>
    </row>
    <row r="15" spans="1:6" ht="14.25" thickBot="1" thickTop="1">
      <c r="A15" s="118">
        <v>14</v>
      </c>
      <c r="B15" s="119">
        <v>2524</v>
      </c>
      <c r="C15" s="119">
        <v>90</v>
      </c>
      <c r="D15" s="119">
        <v>3</v>
      </c>
      <c r="E15" s="120"/>
      <c r="F15" s="121"/>
    </row>
    <row r="16" spans="1:6" ht="14.25" thickBot="1" thickTop="1">
      <c r="A16" s="118">
        <v>15</v>
      </c>
      <c r="B16" s="119">
        <v>2559</v>
      </c>
      <c r="C16" s="119">
        <v>120</v>
      </c>
      <c r="D16" s="119">
        <v>3</v>
      </c>
      <c r="E16" s="120">
        <v>450</v>
      </c>
      <c r="F16" s="122">
        <v>37932</v>
      </c>
    </row>
    <row r="17" spans="1:6" ht="14.25" thickBot="1" thickTop="1">
      <c r="A17" s="118">
        <v>16</v>
      </c>
      <c r="B17" s="119">
        <v>2615</v>
      </c>
      <c r="C17" s="119">
        <v>120</v>
      </c>
      <c r="D17" s="119">
        <v>4</v>
      </c>
      <c r="E17" s="120"/>
      <c r="F17" s="121"/>
    </row>
    <row r="18" spans="1:6" ht="14.25" thickBot="1" thickTop="1">
      <c r="A18" s="118">
        <v>17</v>
      </c>
      <c r="B18" s="119">
        <v>2705</v>
      </c>
      <c r="C18" s="119">
        <v>90</v>
      </c>
      <c r="D18" s="119">
        <v>4</v>
      </c>
      <c r="E18" s="120"/>
      <c r="F18" s="121"/>
    </row>
    <row r="19" spans="1:6" ht="14.25" thickBot="1" thickTop="1">
      <c r="A19" s="118">
        <v>18</v>
      </c>
      <c r="B19" s="119">
        <v>2761</v>
      </c>
      <c r="C19" s="119">
        <v>120</v>
      </c>
      <c r="D19" s="119">
        <v>4</v>
      </c>
      <c r="E19" s="120"/>
      <c r="F19" s="121"/>
    </row>
    <row r="20" spans="1:6" ht="14.25" thickBot="1" thickTop="1">
      <c r="A20" s="118">
        <v>19</v>
      </c>
      <c r="B20" s="119">
        <v>2817</v>
      </c>
      <c r="C20" s="119">
        <v>120</v>
      </c>
      <c r="D20" s="119">
        <v>4</v>
      </c>
      <c r="E20" s="120">
        <v>450</v>
      </c>
      <c r="F20" s="122">
        <v>37960</v>
      </c>
    </row>
    <row r="21" spans="1:6" ht="14.25" thickBot="1" thickTop="1">
      <c r="A21" s="118">
        <v>20</v>
      </c>
      <c r="B21" s="119">
        <v>2860</v>
      </c>
      <c r="C21" s="119">
        <v>90</v>
      </c>
      <c r="D21" s="119">
        <v>5</v>
      </c>
      <c r="E21" s="120"/>
      <c r="F21" s="121"/>
    </row>
    <row r="22" spans="1:6" ht="14.25" thickBot="1" thickTop="1">
      <c r="A22" s="118">
        <v>21</v>
      </c>
      <c r="B22" s="119">
        <v>2916</v>
      </c>
      <c r="C22" s="119">
        <v>120</v>
      </c>
      <c r="D22" s="119">
        <v>5</v>
      </c>
      <c r="E22" s="120"/>
      <c r="F22" s="121"/>
    </row>
    <row r="23" spans="1:6" ht="14.25" thickBot="1" thickTop="1">
      <c r="A23" s="118">
        <v>22</v>
      </c>
      <c r="B23" s="119">
        <v>2952</v>
      </c>
      <c r="C23" s="119">
        <v>150</v>
      </c>
      <c r="D23" s="119">
        <v>5</v>
      </c>
      <c r="E23" s="120"/>
      <c r="F23" s="121"/>
    </row>
    <row r="24" spans="1:6" ht="14.25" thickBot="1" thickTop="1">
      <c r="A24" s="118">
        <v>23</v>
      </c>
      <c r="B24" s="119">
        <v>2972</v>
      </c>
      <c r="C24" s="119">
        <v>90</v>
      </c>
      <c r="D24" s="119">
        <v>5</v>
      </c>
      <c r="E24" s="120"/>
      <c r="F24" s="121"/>
    </row>
    <row r="25" spans="1:6" ht="14.25" thickBot="1" thickTop="1">
      <c r="A25" s="118">
        <v>24</v>
      </c>
      <c r="B25" s="119">
        <v>3010</v>
      </c>
      <c r="C25" s="119">
        <v>110</v>
      </c>
      <c r="D25" s="119">
        <v>5</v>
      </c>
      <c r="E25" s="120">
        <v>560</v>
      </c>
      <c r="F25" s="121" t="s">
        <v>131</v>
      </c>
    </row>
    <row r="26" spans="1:6" ht="13.5" thickTop="1">
      <c r="A26" s="123"/>
      <c r="B26" s="124"/>
      <c r="C26" s="124">
        <v>2470</v>
      </c>
      <c r="D26" s="124"/>
      <c r="E26" s="124">
        <f>SUM(E2:E25)</f>
        <v>2470</v>
      </c>
      <c r="F26" s="12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13"/>
  <sheetViews>
    <sheetView zoomScale="85" zoomScaleNormal="85" zoomScaleSheetLayoutView="100" workbookViewId="0" topLeftCell="AC81">
      <selection activeCell="AP85" sqref="AP85:AR107"/>
    </sheetView>
  </sheetViews>
  <sheetFormatPr defaultColWidth="9.140625" defaultRowHeight="12.75"/>
  <cols>
    <col min="1" max="3" width="6.140625" style="0" customWidth="1"/>
    <col min="4" max="5" width="3.421875" style="0" bestFit="1" customWidth="1"/>
    <col min="6" max="6" width="12.421875" style="0" bestFit="1" customWidth="1"/>
    <col min="7" max="7" width="3.421875" style="0" bestFit="1" customWidth="1"/>
    <col min="8" max="8" width="5.140625" style="0" bestFit="1" customWidth="1"/>
    <col min="9" max="9" width="4.140625" style="0" bestFit="1" customWidth="1"/>
    <col min="10" max="10" width="6.140625" style="0" bestFit="1" customWidth="1"/>
    <col min="12" max="12" width="6.140625" style="0" bestFit="1" customWidth="1"/>
    <col min="13" max="13" width="6.140625" style="0" customWidth="1"/>
    <col min="14" max="14" width="7.57421875" style="0" customWidth="1"/>
    <col min="15" max="15" width="7.140625" style="0" bestFit="1" customWidth="1"/>
    <col min="16" max="16" width="5.8515625" style="0" bestFit="1" customWidth="1"/>
    <col min="17" max="17" width="7.7109375" style="37" bestFit="1" customWidth="1"/>
    <col min="18" max="18" width="6.140625" style="0" bestFit="1" customWidth="1"/>
    <col min="19" max="19" width="8.28125" style="37" bestFit="1" customWidth="1"/>
    <col min="20" max="20" width="7.421875" style="37" customWidth="1"/>
    <col min="21" max="21" width="8.57421875" style="37" bestFit="1" customWidth="1"/>
    <col min="22" max="22" width="7.140625" style="0" bestFit="1" customWidth="1"/>
    <col min="23" max="23" width="5.140625" style="0" bestFit="1" customWidth="1"/>
    <col min="24" max="24" width="8.140625" style="0" bestFit="1" customWidth="1"/>
    <col min="25" max="25" width="8.28125" style="37" bestFit="1" customWidth="1"/>
    <col min="26" max="26" width="5.140625" style="0" bestFit="1" customWidth="1"/>
    <col min="27" max="27" width="5.8515625" style="0" bestFit="1" customWidth="1"/>
    <col min="28" max="28" width="9.00390625" style="37" bestFit="1" customWidth="1"/>
    <col min="29" max="30" width="7.140625" style="0" bestFit="1" customWidth="1"/>
    <col min="31" max="31" width="8.140625" style="0" bestFit="1" customWidth="1"/>
    <col min="32" max="32" width="6.28125" style="0" bestFit="1" customWidth="1"/>
    <col min="33" max="33" width="8.00390625" style="37" bestFit="1" customWidth="1"/>
    <col min="34" max="34" width="9.140625" style="37" bestFit="1" customWidth="1"/>
    <col min="35" max="36" width="7.140625" style="0" bestFit="1" customWidth="1"/>
    <col min="37" max="37" width="8.140625" style="0" bestFit="1" customWidth="1"/>
    <col min="38" max="38" width="5.57421875" style="0" customWidth="1"/>
    <col min="39" max="39" width="3.421875" style="0" bestFit="1" customWidth="1"/>
    <col min="40" max="40" width="5.421875" style="0" customWidth="1"/>
    <col min="41" max="41" width="8.140625" style="0" customWidth="1"/>
    <col min="42" max="42" width="8.57421875" style="0" bestFit="1" customWidth="1"/>
    <col min="43" max="43" width="3.28125" style="0" bestFit="1" customWidth="1"/>
  </cols>
  <sheetData>
    <row r="1" spans="1:3" ht="18.75" thickBot="1">
      <c r="A1" s="28"/>
      <c r="B1" s="28"/>
      <c r="C1" s="28" t="s">
        <v>51</v>
      </c>
    </row>
    <row r="2" spans="1:48" s="36" customFormat="1" ht="106.5" customHeight="1" thickBot="1">
      <c r="A2" s="38" t="s">
        <v>136</v>
      </c>
      <c r="B2" s="38" t="s">
        <v>135</v>
      </c>
      <c r="C2" s="38" t="s">
        <v>20</v>
      </c>
      <c r="D2" s="39" t="s">
        <v>61</v>
      </c>
      <c r="E2" s="39" t="s">
        <v>71</v>
      </c>
      <c r="F2" s="39" t="s">
        <v>62</v>
      </c>
      <c r="G2" s="39" t="s">
        <v>56</v>
      </c>
      <c r="H2" s="39" t="s">
        <v>45</v>
      </c>
      <c r="I2" s="39" t="s">
        <v>65</v>
      </c>
      <c r="J2" s="39" t="s">
        <v>72</v>
      </c>
      <c r="K2" s="39" t="s">
        <v>46</v>
      </c>
      <c r="L2" s="39" t="s">
        <v>47</v>
      </c>
      <c r="M2" s="39" t="s">
        <v>81</v>
      </c>
      <c r="N2" s="39" t="s">
        <v>82</v>
      </c>
      <c r="O2" s="39" t="s">
        <v>93</v>
      </c>
      <c r="P2" s="40" t="s">
        <v>48</v>
      </c>
      <c r="Q2" s="41" t="s">
        <v>49</v>
      </c>
      <c r="R2" s="39" t="s">
        <v>73</v>
      </c>
      <c r="S2" s="41" t="s">
        <v>44</v>
      </c>
      <c r="T2" s="88" t="s">
        <v>69</v>
      </c>
      <c r="U2" s="41" t="s">
        <v>70</v>
      </c>
      <c r="V2" s="39" t="s">
        <v>43</v>
      </c>
      <c r="W2" s="39" t="s">
        <v>42</v>
      </c>
      <c r="X2" s="39" t="s">
        <v>41</v>
      </c>
      <c r="Y2" s="41" t="s">
        <v>40</v>
      </c>
      <c r="Z2" s="39" t="s">
        <v>39</v>
      </c>
      <c r="AA2" s="40" t="s">
        <v>38</v>
      </c>
      <c r="AB2" s="41" t="s">
        <v>37</v>
      </c>
      <c r="AC2" s="39" t="s">
        <v>36</v>
      </c>
      <c r="AD2" s="39" t="s">
        <v>35</v>
      </c>
      <c r="AE2" s="39" t="s">
        <v>34</v>
      </c>
      <c r="AF2" s="39" t="s">
        <v>83</v>
      </c>
      <c r="AG2" s="41" t="s">
        <v>33</v>
      </c>
      <c r="AH2" s="41" t="s">
        <v>32</v>
      </c>
      <c r="AI2" s="39" t="s">
        <v>31</v>
      </c>
      <c r="AJ2" s="39" t="s">
        <v>30</v>
      </c>
      <c r="AK2" s="39" t="s">
        <v>29</v>
      </c>
      <c r="AL2" s="40" t="s">
        <v>67</v>
      </c>
      <c r="AM2" s="39" t="s">
        <v>63</v>
      </c>
      <c r="AN2" s="40" t="s">
        <v>68</v>
      </c>
      <c r="AO2" s="40" t="s">
        <v>50</v>
      </c>
      <c r="AP2" s="39" t="s">
        <v>28</v>
      </c>
      <c r="AQ2" s="42" t="s">
        <v>66</v>
      </c>
      <c r="AR2" s="36" t="s">
        <v>94</v>
      </c>
      <c r="AT2" s="36" t="s">
        <v>195</v>
      </c>
      <c r="AU2" s="36" t="s">
        <v>196</v>
      </c>
      <c r="AV2" s="36" t="s">
        <v>197</v>
      </c>
    </row>
    <row r="3" spans="1:48" s="14" customFormat="1" ht="12.75">
      <c r="A3" s="43"/>
      <c r="B3" s="43">
        <v>3</v>
      </c>
      <c r="C3" s="43">
        <v>23</v>
      </c>
      <c r="D3" s="44">
        <v>1</v>
      </c>
      <c r="E3" s="44">
        <v>1</v>
      </c>
      <c r="F3" s="45" t="s">
        <v>162</v>
      </c>
      <c r="G3" s="45">
        <v>2</v>
      </c>
      <c r="H3" s="46">
        <v>0.35</v>
      </c>
      <c r="I3" s="46">
        <v>2</v>
      </c>
      <c r="J3" s="47">
        <f>H3*I3</f>
        <v>0.7</v>
      </c>
      <c r="K3" s="47">
        <f>'P0-Z'!B4</f>
        <v>876.925</v>
      </c>
      <c r="L3" s="46">
        <v>577.25</v>
      </c>
      <c r="M3" s="47">
        <f>K3+O3</f>
        <v>882.0999999999999</v>
      </c>
      <c r="N3" s="48">
        <f>R3-O3</f>
        <v>577.325</v>
      </c>
      <c r="O3" s="48">
        <f>5+(H3/2)</f>
        <v>5.175</v>
      </c>
      <c r="P3" s="46">
        <v>18.6</v>
      </c>
      <c r="Q3" s="48">
        <f>N3-L3</f>
        <v>0.07500000000004547</v>
      </c>
      <c r="R3" s="46">
        <v>582.5</v>
      </c>
      <c r="S3" s="48">
        <f>(O3*2)*PI()*(90/360)</f>
        <v>8.12887099116359</v>
      </c>
      <c r="T3" s="48">
        <f>R3+((C3*J3)-(J3/2))</f>
        <v>598.25</v>
      </c>
      <c r="U3" s="48">
        <f>SQRT((POWER((V3-(K3+O3)),2))+(POWER(T3-(R3+(E3*J3)-(J3/2)),2)))+((9-D3)*0.45)</f>
        <v>1854.6640615602691</v>
      </c>
      <c r="V3" s="46">
        <v>2733.1</v>
      </c>
      <c r="W3" s="46">
        <v>611</v>
      </c>
      <c r="X3" s="48">
        <f>12.5+((23-C3)*J3)+(J3/2)</f>
        <v>12.85</v>
      </c>
      <c r="Y3" s="48">
        <f>(X3*2)*PI()*(90/360)</f>
        <v>20.18473279931442</v>
      </c>
      <c r="Z3" s="46">
        <v>750</v>
      </c>
      <c r="AA3" s="47">
        <f>Z3-W3</f>
        <v>139</v>
      </c>
      <c r="AB3" s="48">
        <f aca="true" t="shared" si="0" ref="AB3:AB24">SQRT((POWER((AD3-Z3),2))+(POWER(((AC3-AE3)-(V3+X3)),2)))</f>
        <v>320.6676940385484</v>
      </c>
      <c r="AC3" s="46">
        <v>2787.3</v>
      </c>
      <c r="AD3" s="46">
        <v>1070.4</v>
      </c>
      <c r="AE3" s="47">
        <f>12.5+(C3*J3)-(J3/2)</f>
        <v>28.249999999999996</v>
      </c>
      <c r="AF3" s="46">
        <v>1076</v>
      </c>
      <c r="AG3" s="48">
        <f>(AE3*2)*PI()*(90/360)</f>
        <v>44.37499623195582</v>
      </c>
      <c r="AH3" s="48">
        <f>SQRT((POWER((AI3-AC3),2))+(POWER(((AJ3-AK3)-(AD3+AE3)),2)))</f>
        <v>405.69116332501</v>
      </c>
      <c r="AI3" s="46">
        <v>3192.9</v>
      </c>
      <c r="AJ3" s="46">
        <v>1100.4</v>
      </c>
      <c r="AK3" s="48">
        <f>10+((23-C3)*J3)+(J3/2)</f>
        <v>10.35</v>
      </c>
      <c r="AL3" s="296">
        <v>93.2046</v>
      </c>
      <c r="AM3" s="47">
        <v>1</v>
      </c>
      <c r="AN3" s="46">
        <v>66</v>
      </c>
      <c r="AO3" s="46">
        <v>2.17</v>
      </c>
      <c r="AP3" s="49">
        <f>P3+Q3+S3+U3+Y3+AA3+AB3+AG3+AH3+AL3+AN3+AO3</f>
        <v>2972.7611189462614</v>
      </c>
      <c r="AQ3" s="76">
        <v>1</v>
      </c>
      <c r="AR3" s="14">
        <f>G3*4*2</f>
        <v>16</v>
      </c>
      <c r="AT3" s="14">
        <v>91.8723</v>
      </c>
      <c r="AU3" s="14">
        <v>93.2046</v>
      </c>
      <c r="AV3" s="297">
        <f aca="true" t="shared" si="1" ref="AV3:AV25">AU3-AT3</f>
        <v>1.3323000000000036</v>
      </c>
    </row>
    <row r="4" spans="1:48" s="14" customFormat="1" ht="12.75">
      <c r="A4" s="62"/>
      <c r="B4" s="62"/>
      <c r="C4" s="62">
        <v>22</v>
      </c>
      <c r="D4" s="63">
        <v>1</v>
      </c>
      <c r="E4" s="63">
        <v>2</v>
      </c>
      <c r="F4" s="64" t="s">
        <v>163</v>
      </c>
      <c r="G4" s="64">
        <v>3</v>
      </c>
      <c r="H4" s="65">
        <f>H3</f>
        <v>0.35</v>
      </c>
      <c r="I4" s="65">
        <f>I3</f>
        <v>2</v>
      </c>
      <c r="J4" s="65">
        <f>H4*I4</f>
        <v>0.7</v>
      </c>
      <c r="K4" s="65">
        <f>'P0-Z'!B5</f>
        <v>889.175</v>
      </c>
      <c r="L4" s="65">
        <f>L3</f>
        <v>577.25</v>
      </c>
      <c r="M4" s="65">
        <f aca="true" t="shared" si="2" ref="M4:M25">K4+O4</f>
        <v>894.3499999999999</v>
      </c>
      <c r="N4" s="66">
        <f aca="true" t="shared" si="3" ref="N4:N25">R4-O4</f>
        <v>577.325</v>
      </c>
      <c r="O4" s="66">
        <f>O3</f>
        <v>5.175</v>
      </c>
      <c r="P4" s="65">
        <f>P3</f>
        <v>18.6</v>
      </c>
      <c r="Q4" s="66">
        <f aca="true" t="shared" si="4" ref="Q4:Q25">N4-L4</f>
        <v>0.07500000000004547</v>
      </c>
      <c r="R4" s="65">
        <f>R3</f>
        <v>582.5</v>
      </c>
      <c r="S4" s="66">
        <f aca="true" t="shared" si="5" ref="S4:S25">(O4*2)*PI()*(90/360)</f>
        <v>8.12887099116359</v>
      </c>
      <c r="T4" s="66">
        <f aca="true" t="shared" si="6" ref="T4:T25">R4+((C4*J4)-(J4/2))</f>
        <v>597.55</v>
      </c>
      <c r="U4" s="66">
        <f aca="true" t="shared" si="7" ref="U4:U25">SQRT((POWER((V4-(K4+O4)),2))+(POWER(T4-(R4+(E4*J4)-(J4/2)),2)))+((9-D4)*0.45)</f>
        <v>1842.4032963044197</v>
      </c>
      <c r="V4" s="65">
        <f>V3</f>
        <v>2733.1</v>
      </c>
      <c r="W4" s="65">
        <f aca="true" t="shared" si="8" ref="W4:W25">W3</f>
        <v>611</v>
      </c>
      <c r="X4" s="66">
        <f aca="true" t="shared" si="9" ref="X4:X25">12.5+((23-C4)*J4)+(J4/2)</f>
        <v>13.549999999999999</v>
      </c>
      <c r="Y4" s="66">
        <f aca="true" t="shared" si="10" ref="Y4:Y25">(X4*2)*PI()*(90/360)</f>
        <v>21.284290228070848</v>
      </c>
      <c r="Z4" s="65">
        <f>Z3</f>
        <v>750</v>
      </c>
      <c r="AA4" s="65">
        <f aca="true" t="shared" si="11" ref="AA4:AA25">Z4-W4</f>
        <v>139</v>
      </c>
      <c r="AB4" s="66">
        <f t="shared" si="0"/>
        <v>320.66769403854835</v>
      </c>
      <c r="AC4" s="65">
        <f>AC3</f>
        <v>2787.3</v>
      </c>
      <c r="AD4" s="65">
        <f>AD3</f>
        <v>1070.4</v>
      </c>
      <c r="AE4" s="65">
        <f aca="true" t="shared" si="12" ref="AE4:AE25">12.5+(C4*J4)-(J4/2)</f>
        <v>27.549999999999997</v>
      </c>
      <c r="AF4" s="65">
        <f>AF3</f>
        <v>1076</v>
      </c>
      <c r="AG4" s="66">
        <f aca="true" t="shared" si="13" ref="AG4:AG25">(AE4*2)*PI()*(90/360)</f>
        <v>43.27543880319939</v>
      </c>
      <c r="AH4" s="66">
        <f aca="true" t="shared" si="14" ref="AH4:AH25">SQRT((POWER((AI4-AC4),2))+(POWER(((AJ4-AK4)-(AD4+AE4)),2)))</f>
        <v>405.69116332501</v>
      </c>
      <c r="AI4" s="65">
        <f aca="true" t="shared" si="15" ref="AI4:AI25">AI3</f>
        <v>3192.9</v>
      </c>
      <c r="AJ4" s="65">
        <f aca="true" t="shared" si="16" ref="AJ4:AJ25">AJ3</f>
        <v>1100.4</v>
      </c>
      <c r="AK4" s="66">
        <f aca="true" t="shared" si="17" ref="AK4:AK25">10+((23-C4)*J4)+(J4/2)</f>
        <v>11.049999999999999</v>
      </c>
      <c r="AL4" s="298">
        <v>93.6718</v>
      </c>
      <c r="AM4" s="65">
        <v>2</v>
      </c>
      <c r="AN4" s="67">
        <v>22</v>
      </c>
      <c r="AO4" s="65">
        <f>AO3</f>
        <v>2.17</v>
      </c>
      <c r="AP4" s="68">
        <f>P4+Q4+S4+U4+Y4+AA4+AB4+AG4+AH4+AL4+AN4+AO4</f>
        <v>2916.9675536904124</v>
      </c>
      <c r="AQ4" s="79">
        <v>2</v>
      </c>
      <c r="AR4" s="14">
        <f aca="true" t="shared" si="18" ref="AR4:AR25">G4*4*2</f>
        <v>24</v>
      </c>
      <c r="AT4" s="14">
        <v>92.373</v>
      </c>
      <c r="AU4" s="14">
        <v>93.6718</v>
      </c>
      <c r="AV4" s="297">
        <f t="shared" si="1"/>
        <v>1.2988</v>
      </c>
    </row>
    <row r="5" spans="1:48" s="14" customFormat="1" ht="12.75">
      <c r="A5" s="69">
        <v>1</v>
      </c>
      <c r="B5" s="69">
        <v>2</v>
      </c>
      <c r="C5" s="69">
        <v>21</v>
      </c>
      <c r="D5" s="70">
        <v>2</v>
      </c>
      <c r="E5" s="70">
        <v>1</v>
      </c>
      <c r="F5" s="71" t="s">
        <v>164</v>
      </c>
      <c r="G5" s="71">
        <v>3</v>
      </c>
      <c r="H5" s="72">
        <f aca="true" t="shared" si="19" ref="H5:H25">H4</f>
        <v>0.35</v>
      </c>
      <c r="I5" s="72">
        <f aca="true" t="shared" si="20" ref="I5:I25">I4</f>
        <v>2</v>
      </c>
      <c r="J5" s="72">
        <f aca="true" t="shared" si="21" ref="J5:J25">H5*I5</f>
        <v>0.7</v>
      </c>
      <c r="K5" s="72">
        <f>'P0-Z'!C4</f>
        <v>957.125</v>
      </c>
      <c r="L5" s="72">
        <f aca="true" t="shared" si="22" ref="L5:L25">L4</f>
        <v>577.25</v>
      </c>
      <c r="M5" s="72">
        <f t="shared" si="2"/>
        <v>962.3</v>
      </c>
      <c r="N5" s="73">
        <f t="shared" si="3"/>
        <v>577.325</v>
      </c>
      <c r="O5" s="73">
        <f aca="true" t="shared" si="23" ref="O5:O25">O4</f>
        <v>5.175</v>
      </c>
      <c r="P5" s="72">
        <f aca="true" t="shared" si="24" ref="P5:P25">P4</f>
        <v>18.6</v>
      </c>
      <c r="Q5" s="73">
        <f t="shared" si="4"/>
        <v>0.07500000000004547</v>
      </c>
      <c r="R5" s="72">
        <f aca="true" t="shared" si="25" ref="R5:R25">R4</f>
        <v>582.5</v>
      </c>
      <c r="S5" s="73">
        <f t="shared" si="5"/>
        <v>8.12887099116359</v>
      </c>
      <c r="T5" s="73">
        <f t="shared" si="6"/>
        <v>596.85</v>
      </c>
      <c r="U5" s="73">
        <f t="shared" si="7"/>
        <v>1774.0053413534376</v>
      </c>
      <c r="V5" s="72">
        <f aca="true" t="shared" si="26" ref="V5:V25">V4</f>
        <v>2733.1</v>
      </c>
      <c r="W5" s="72">
        <f t="shared" si="8"/>
        <v>611</v>
      </c>
      <c r="X5" s="73">
        <f t="shared" si="9"/>
        <v>14.25</v>
      </c>
      <c r="Y5" s="73">
        <f t="shared" si="10"/>
        <v>22.383847656827275</v>
      </c>
      <c r="Z5" s="72">
        <f aca="true" t="shared" si="27" ref="Z5:Z25">Z4</f>
        <v>750</v>
      </c>
      <c r="AA5" s="72">
        <f t="shared" si="11"/>
        <v>139</v>
      </c>
      <c r="AB5" s="73">
        <f t="shared" si="0"/>
        <v>320.6676940385484</v>
      </c>
      <c r="AC5" s="72">
        <f aca="true" t="shared" si="28" ref="AC5:AC25">AC4</f>
        <v>2787.3</v>
      </c>
      <c r="AD5" s="72">
        <f aca="true" t="shared" si="29" ref="AD5:AD25">AD4</f>
        <v>1070.4</v>
      </c>
      <c r="AE5" s="72">
        <f t="shared" si="12"/>
        <v>26.849999999999998</v>
      </c>
      <c r="AF5" s="72">
        <f aca="true" t="shared" si="30" ref="AF5:AF25">AF4</f>
        <v>1076</v>
      </c>
      <c r="AG5" s="73">
        <f t="shared" si="13"/>
        <v>42.175881374442966</v>
      </c>
      <c r="AH5" s="73">
        <f t="shared" si="14"/>
        <v>405.69116332501</v>
      </c>
      <c r="AI5" s="72">
        <f t="shared" si="15"/>
        <v>3192.9</v>
      </c>
      <c r="AJ5" s="72">
        <f t="shared" si="16"/>
        <v>1100.4</v>
      </c>
      <c r="AK5" s="73">
        <f t="shared" si="17"/>
        <v>11.75</v>
      </c>
      <c r="AL5" s="299">
        <v>94.644</v>
      </c>
      <c r="AM5" s="72">
        <v>1</v>
      </c>
      <c r="AN5" s="74">
        <v>110</v>
      </c>
      <c r="AO5" s="72">
        <f aca="true" t="shared" si="31" ref="AO5:AO25">AO4</f>
        <v>2.17</v>
      </c>
      <c r="AP5" s="75">
        <f>SUM(P5+Q5+S5+U5+Y5+AA5+AB5+AG5+AH5+AL5+AN5+AO5)</f>
        <v>2937.5417987394303</v>
      </c>
      <c r="AQ5" s="80">
        <v>3</v>
      </c>
      <c r="AR5" s="14">
        <f t="shared" si="18"/>
        <v>24</v>
      </c>
      <c r="AT5" s="14">
        <v>90.6693</v>
      </c>
      <c r="AU5" s="14">
        <v>94.644</v>
      </c>
      <c r="AV5" s="297">
        <f t="shared" si="1"/>
        <v>3.9746999999999986</v>
      </c>
    </row>
    <row r="6" spans="1:48" s="14" customFormat="1" ht="12.75">
      <c r="A6" s="50"/>
      <c r="B6" s="50"/>
      <c r="C6" s="50">
        <v>20</v>
      </c>
      <c r="D6" s="51">
        <v>2</v>
      </c>
      <c r="E6" s="51">
        <v>2</v>
      </c>
      <c r="F6" s="52" t="s">
        <v>165</v>
      </c>
      <c r="G6" s="52">
        <v>3</v>
      </c>
      <c r="H6" s="53">
        <f t="shared" si="19"/>
        <v>0.35</v>
      </c>
      <c r="I6" s="53">
        <f t="shared" si="20"/>
        <v>2</v>
      </c>
      <c r="J6" s="53">
        <f t="shared" si="21"/>
        <v>0.7</v>
      </c>
      <c r="K6" s="53">
        <f>'P0-Z'!C5</f>
        <v>969.375</v>
      </c>
      <c r="L6" s="53">
        <f t="shared" si="22"/>
        <v>577.25</v>
      </c>
      <c r="M6" s="53">
        <f t="shared" si="2"/>
        <v>974.55</v>
      </c>
      <c r="N6" s="54">
        <f t="shared" si="3"/>
        <v>577.325</v>
      </c>
      <c r="O6" s="54">
        <f t="shared" si="23"/>
        <v>5.175</v>
      </c>
      <c r="P6" s="53">
        <f t="shared" si="24"/>
        <v>18.6</v>
      </c>
      <c r="Q6" s="54">
        <f t="shared" si="4"/>
        <v>0.07500000000004547</v>
      </c>
      <c r="R6" s="53">
        <f t="shared" si="25"/>
        <v>582.5</v>
      </c>
      <c r="S6" s="54">
        <f t="shared" si="5"/>
        <v>8.12887099116359</v>
      </c>
      <c r="T6" s="54">
        <f t="shared" si="6"/>
        <v>596.15</v>
      </c>
      <c r="U6" s="54">
        <f t="shared" si="7"/>
        <v>1761.7451388821703</v>
      </c>
      <c r="V6" s="53">
        <f t="shared" si="26"/>
        <v>2733.1</v>
      </c>
      <c r="W6" s="53">
        <f t="shared" si="8"/>
        <v>611</v>
      </c>
      <c r="X6" s="54">
        <f t="shared" si="9"/>
        <v>14.95</v>
      </c>
      <c r="Y6" s="54">
        <f t="shared" si="10"/>
        <v>23.4834050855837</v>
      </c>
      <c r="Z6" s="53">
        <f t="shared" si="27"/>
        <v>750</v>
      </c>
      <c r="AA6" s="53">
        <f t="shared" si="11"/>
        <v>139</v>
      </c>
      <c r="AB6" s="54">
        <f t="shared" si="0"/>
        <v>320.6676940385484</v>
      </c>
      <c r="AC6" s="53">
        <f t="shared" si="28"/>
        <v>2787.3</v>
      </c>
      <c r="AD6" s="53">
        <f t="shared" si="29"/>
        <v>1070.4</v>
      </c>
      <c r="AE6" s="53">
        <f t="shared" si="12"/>
        <v>26.15</v>
      </c>
      <c r="AF6" s="53">
        <f t="shared" si="30"/>
        <v>1076</v>
      </c>
      <c r="AG6" s="54">
        <f t="shared" si="13"/>
        <v>41.07632394568654</v>
      </c>
      <c r="AH6" s="54">
        <f t="shared" si="14"/>
        <v>405.69116332501</v>
      </c>
      <c r="AI6" s="53">
        <f t="shared" si="15"/>
        <v>3192.9</v>
      </c>
      <c r="AJ6" s="53">
        <f t="shared" si="16"/>
        <v>1100.4</v>
      </c>
      <c r="AK6" s="54">
        <f t="shared" si="17"/>
        <v>12.45</v>
      </c>
      <c r="AL6" s="300">
        <v>95.0639</v>
      </c>
      <c r="AM6" s="53">
        <v>2</v>
      </c>
      <c r="AN6" s="53">
        <f>AN3</f>
        <v>66</v>
      </c>
      <c r="AO6" s="53">
        <f t="shared" si="31"/>
        <v>2.17</v>
      </c>
      <c r="AP6" s="55">
        <f aca="true" t="shared" si="32" ref="AP6:AP25">P6+Q6+S6+U6+Y6+AA6+AB6+AG6+AH6+AL6+AN6+AO6</f>
        <v>2881.701496268163</v>
      </c>
      <c r="AQ6" s="77">
        <v>4</v>
      </c>
      <c r="AR6" s="14">
        <f t="shared" si="18"/>
        <v>24</v>
      </c>
      <c r="AT6" s="14">
        <v>91.1103</v>
      </c>
      <c r="AU6" s="14">
        <v>95.0639</v>
      </c>
      <c r="AV6" s="297">
        <f t="shared" si="1"/>
        <v>3.9536000000000087</v>
      </c>
    </row>
    <row r="7" spans="1:48" s="14" customFormat="1" ht="12.75">
      <c r="A7" s="50"/>
      <c r="B7" s="50"/>
      <c r="C7" s="50">
        <v>19</v>
      </c>
      <c r="D7" s="51">
        <v>2</v>
      </c>
      <c r="E7" s="51">
        <v>3</v>
      </c>
      <c r="F7" s="52" t="s">
        <v>166</v>
      </c>
      <c r="G7" s="52">
        <v>1</v>
      </c>
      <c r="H7" s="53">
        <f t="shared" si="19"/>
        <v>0.35</v>
      </c>
      <c r="I7" s="53">
        <f t="shared" si="20"/>
        <v>2</v>
      </c>
      <c r="J7" s="53">
        <f t="shared" si="21"/>
        <v>0.7</v>
      </c>
      <c r="K7" s="53">
        <f>'P0-Z'!C6</f>
        <v>981.625</v>
      </c>
      <c r="L7" s="53">
        <f t="shared" si="22"/>
        <v>577.25</v>
      </c>
      <c r="M7" s="53">
        <f t="shared" si="2"/>
        <v>986.8</v>
      </c>
      <c r="N7" s="54">
        <f t="shared" si="3"/>
        <v>577.325</v>
      </c>
      <c r="O7" s="54">
        <f t="shared" si="23"/>
        <v>5.175</v>
      </c>
      <c r="P7" s="53">
        <f t="shared" si="24"/>
        <v>18.6</v>
      </c>
      <c r="Q7" s="54">
        <f t="shared" si="4"/>
        <v>0.07500000000004547</v>
      </c>
      <c r="R7" s="53">
        <f t="shared" si="25"/>
        <v>582.5</v>
      </c>
      <c r="S7" s="54">
        <f t="shared" si="5"/>
        <v>8.12887099116359</v>
      </c>
      <c r="T7" s="54">
        <f t="shared" si="6"/>
        <v>595.45</v>
      </c>
      <c r="U7" s="54">
        <f t="shared" si="7"/>
        <v>1749.48591556722</v>
      </c>
      <c r="V7" s="53">
        <f t="shared" si="26"/>
        <v>2733.1</v>
      </c>
      <c r="W7" s="53">
        <f t="shared" si="8"/>
        <v>611</v>
      </c>
      <c r="X7" s="54">
        <f t="shared" si="9"/>
        <v>15.65</v>
      </c>
      <c r="Y7" s="54">
        <f t="shared" si="10"/>
        <v>24.58296251434013</v>
      </c>
      <c r="Z7" s="53">
        <f t="shared" si="27"/>
        <v>750</v>
      </c>
      <c r="AA7" s="53">
        <f t="shared" si="11"/>
        <v>139</v>
      </c>
      <c r="AB7" s="54">
        <f t="shared" si="0"/>
        <v>320.6676940385484</v>
      </c>
      <c r="AC7" s="53">
        <f t="shared" si="28"/>
        <v>2787.3</v>
      </c>
      <c r="AD7" s="53">
        <f t="shared" si="29"/>
        <v>1070.4</v>
      </c>
      <c r="AE7" s="53">
        <f t="shared" si="12"/>
        <v>25.449999999999996</v>
      </c>
      <c r="AF7" s="53">
        <f t="shared" si="30"/>
        <v>1076</v>
      </c>
      <c r="AG7" s="54">
        <f t="shared" si="13"/>
        <v>39.97676651693011</v>
      </c>
      <c r="AH7" s="54">
        <f t="shared" si="14"/>
        <v>405.69116332501</v>
      </c>
      <c r="AI7" s="53">
        <f t="shared" si="15"/>
        <v>3192.9</v>
      </c>
      <c r="AJ7" s="53">
        <f t="shared" si="16"/>
        <v>1100.4</v>
      </c>
      <c r="AK7" s="54">
        <f t="shared" si="17"/>
        <v>13.15</v>
      </c>
      <c r="AL7" s="300">
        <v>95.4845</v>
      </c>
      <c r="AM7" s="53">
        <v>3</v>
      </c>
      <c r="AN7" s="90">
        <f>AN4</f>
        <v>22</v>
      </c>
      <c r="AO7" s="53">
        <f t="shared" si="31"/>
        <v>2.17</v>
      </c>
      <c r="AP7" s="55">
        <f t="shared" si="32"/>
        <v>2825.8628729532124</v>
      </c>
      <c r="AQ7" s="77">
        <v>5</v>
      </c>
      <c r="AR7" s="14">
        <f t="shared" si="18"/>
        <v>8</v>
      </c>
      <c r="AT7" s="14">
        <v>91.5523</v>
      </c>
      <c r="AU7" s="14">
        <v>95.4845</v>
      </c>
      <c r="AV7" s="297">
        <f t="shared" si="1"/>
        <v>3.9321999999999946</v>
      </c>
    </row>
    <row r="8" spans="1:48" s="14" customFormat="1" ht="12.75">
      <c r="A8" s="69">
        <v>1</v>
      </c>
      <c r="B8" s="69">
        <v>2</v>
      </c>
      <c r="C8" s="69">
        <v>18</v>
      </c>
      <c r="D8" s="70">
        <v>3</v>
      </c>
      <c r="E8" s="70">
        <v>1</v>
      </c>
      <c r="F8" s="71" t="s">
        <v>164</v>
      </c>
      <c r="G8" s="71">
        <v>3</v>
      </c>
      <c r="H8" s="72">
        <f t="shared" si="19"/>
        <v>0.35</v>
      </c>
      <c r="I8" s="72">
        <f t="shared" si="20"/>
        <v>2</v>
      </c>
      <c r="J8" s="72">
        <f t="shared" si="21"/>
        <v>0.7</v>
      </c>
      <c r="K8" s="72">
        <f>'P0-Z'!D4</f>
        <v>1114.625</v>
      </c>
      <c r="L8" s="72">
        <f t="shared" si="22"/>
        <v>577.25</v>
      </c>
      <c r="M8" s="72">
        <f t="shared" si="2"/>
        <v>1119.8</v>
      </c>
      <c r="N8" s="73">
        <f t="shared" si="3"/>
        <v>577.325</v>
      </c>
      <c r="O8" s="73">
        <f t="shared" si="23"/>
        <v>5.175</v>
      </c>
      <c r="P8" s="72">
        <f t="shared" si="24"/>
        <v>18.6</v>
      </c>
      <c r="Q8" s="73">
        <f t="shared" si="4"/>
        <v>0.07500000000004547</v>
      </c>
      <c r="R8" s="72">
        <f t="shared" si="25"/>
        <v>582.5</v>
      </c>
      <c r="S8" s="73">
        <f t="shared" si="5"/>
        <v>8.12887099116359</v>
      </c>
      <c r="T8" s="73">
        <f t="shared" si="6"/>
        <v>594.75</v>
      </c>
      <c r="U8" s="73">
        <f t="shared" si="7"/>
        <v>1616.0438877065235</v>
      </c>
      <c r="V8" s="72">
        <f t="shared" si="26"/>
        <v>2733.1</v>
      </c>
      <c r="W8" s="72">
        <f t="shared" si="8"/>
        <v>611</v>
      </c>
      <c r="X8" s="73">
        <f t="shared" si="9"/>
        <v>16.35</v>
      </c>
      <c r="Y8" s="73">
        <f t="shared" si="10"/>
        <v>25.682519943096562</v>
      </c>
      <c r="Z8" s="72">
        <f t="shared" si="27"/>
        <v>750</v>
      </c>
      <c r="AA8" s="72">
        <f t="shared" si="11"/>
        <v>139</v>
      </c>
      <c r="AB8" s="73">
        <f t="shared" si="0"/>
        <v>320.6676940385484</v>
      </c>
      <c r="AC8" s="72">
        <f t="shared" si="28"/>
        <v>2787.3</v>
      </c>
      <c r="AD8" s="72">
        <f t="shared" si="29"/>
        <v>1070.4</v>
      </c>
      <c r="AE8" s="72">
        <f t="shared" si="12"/>
        <v>24.75</v>
      </c>
      <c r="AF8" s="72">
        <f t="shared" si="30"/>
        <v>1076</v>
      </c>
      <c r="AG8" s="73">
        <f t="shared" si="13"/>
        <v>38.87720908817369</v>
      </c>
      <c r="AH8" s="73">
        <f t="shared" si="14"/>
        <v>405.69116332501</v>
      </c>
      <c r="AI8" s="72">
        <f t="shared" si="15"/>
        <v>3192.9</v>
      </c>
      <c r="AJ8" s="72">
        <f t="shared" si="16"/>
        <v>1100.4</v>
      </c>
      <c r="AK8" s="73">
        <f t="shared" si="17"/>
        <v>13.85</v>
      </c>
      <c r="AL8" s="299">
        <v>99.9531</v>
      </c>
      <c r="AM8" s="72">
        <v>1</v>
      </c>
      <c r="AN8" s="72">
        <f aca="true" t="shared" si="33" ref="AN8:AN19">AN5</f>
        <v>110</v>
      </c>
      <c r="AO8" s="72">
        <f t="shared" si="31"/>
        <v>2.17</v>
      </c>
      <c r="AP8" s="75">
        <f t="shared" si="32"/>
        <v>2784.8894450925163</v>
      </c>
      <c r="AQ8" s="80">
        <v>6</v>
      </c>
      <c r="AR8" s="14">
        <f t="shared" si="18"/>
        <v>24</v>
      </c>
      <c r="AT8" s="14">
        <v>93.7976</v>
      </c>
      <c r="AU8" s="14">
        <v>99.9531</v>
      </c>
      <c r="AV8" s="297">
        <f t="shared" si="1"/>
        <v>6.1555000000000035</v>
      </c>
    </row>
    <row r="9" spans="1:48" s="14" customFormat="1" ht="12.75">
      <c r="A9" s="50"/>
      <c r="B9" s="50"/>
      <c r="C9" s="50">
        <v>17</v>
      </c>
      <c r="D9" s="51">
        <v>3</v>
      </c>
      <c r="E9" s="51">
        <v>2</v>
      </c>
      <c r="F9" s="52" t="s">
        <v>165</v>
      </c>
      <c r="G9" s="52">
        <v>3</v>
      </c>
      <c r="H9" s="53">
        <f t="shared" si="19"/>
        <v>0.35</v>
      </c>
      <c r="I9" s="53">
        <f t="shared" si="20"/>
        <v>2</v>
      </c>
      <c r="J9" s="53">
        <f t="shared" si="21"/>
        <v>0.7</v>
      </c>
      <c r="K9" s="53">
        <f>'P0-Z'!D5</f>
        <v>1126.875</v>
      </c>
      <c r="L9" s="53">
        <f t="shared" si="22"/>
        <v>577.25</v>
      </c>
      <c r="M9" s="53">
        <f t="shared" si="2"/>
        <v>1132.05</v>
      </c>
      <c r="N9" s="54">
        <f t="shared" si="3"/>
        <v>577.325</v>
      </c>
      <c r="O9" s="54">
        <f t="shared" si="23"/>
        <v>5.175</v>
      </c>
      <c r="P9" s="53">
        <f t="shared" si="24"/>
        <v>18.6</v>
      </c>
      <c r="Q9" s="54">
        <f t="shared" si="4"/>
        <v>0.07500000000004547</v>
      </c>
      <c r="R9" s="53">
        <f t="shared" si="25"/>
        <v>582.5</v>
      </c>
      <c r="S9" s="54">
        <f t="shared" si="5"/>
        <v>8.12887099116359</v>
      </c>
      <c r="T9" s="54">
        <f t="shared" si="6"/>
        <v>594.05</v>
      </c>
      <c r="U9" s="54">
        <f t="shared" si="7"/>
        <v>1603.784430159759</v>
      </c>
      <c r="V9" s="53">
        <f t="shared" si="26"/>
        <v>2733.1</v>
      </c>
      <c r="W9" s="53">
        <f t="shared" si="8"/>
        <v>611</v>
      </c>
      <c r="X9" s="54">
        <f t="shared" si="9"/>
        <v>17.05</v>
      </c>
      <c r="Y9" s="54">
        <f t="shared" si="10"/>
        <v>26.78207737185299</v>
      </c>
      <c r="Z9" s="53">
        <f t="shared" si="27"/>
        <v>750</v>
      </c>
      <c r="AA9" s="53">
        <f t="shared" si="11"/>
        <v>139</v>
      </c>
      <c r="AB9" s="54">
        <f t="shared" si="0"/>
        <v>320.66769403854835</v>
      </c>
      <c r="AC9" s="53">
        <f t="shared" si="28"/>
        <v>2787.3</v>
      </c>
      <c r="AD9" s="53">
        <f t="shared" si="29"/>
        <v>1070.4</v>
      </c>
      <c r="AE9" s="53">
        <f t="shared" si="12"/>
        <v>24.049999999999997</v>
      </c>
      <c r="AF9" s="53">
        <f t="shared" si="30"/>
        <v>1076</v>
      </c>
      <c r="AG9" s="54">
        <f t="shared" si="13"/>
        <v>37.77765165941726</v>
      </c>
      <c r="AH9" s="54">
        <f t="shared" si="14"/>
        <v>405.69116332501</v>
      </c>
      <c r="AI9" s="53">
        <f t="shared" si="15"/>
        <v>3192.9</v>
      </c>
      <c r="AJ9" s="53">
        <f t="shared" si="16"/>
        <v>1100.4</v>
      </c>
      <c r="AK9" s="54">
        <f t="shared" si="17"/>
        <v>14.549999999999999</v>
      </c>
      <c r="AL9" s="300">
        <v>100.3281</v>
      </c>
      <c r="AM9" s="53">
        <v>2</v>
      </c>
      <c r="AN9" s="53">
        <f t="shared" si="33"/>
        <v>66</v>
      </c>
      <c r="AO9" s="53">
        <f t="shared" si="31"/>
        <v>2.17</v>
      </c>
      <c r="AP9" s="55">
        <f t="shared" si="32"/>
        <v>2729.0049875457516</v>
      </c>
      <c r="AQ9" s="77">
        <v>7</v>
      </c>
      <c r="AR9" s="14">
        <f t="shared" si="18"/>
        <v>24</v>
      </c>
      <c r="AT9" s="14">
        <v>94.1826</v>
      </c>
      <c r="AU9" s="14">
        <v>100.3281</v>
      </c>
      <c r="AV9" s="297">
        <f t="shared" si="1"/>
        <v>6.145500000000013</v>
      </c>
    </row>
    <row r="10" spans="1:48" s="14" customFormat="1" ht="12.75">
      <c r="A10" s="50"/>
      <c r="B10" s="50"/>
      <c r="C10" s="50">
        <v>16</v>
      </c>
      <c r="D10" s="51">
        <v>3</v>
      </c>
      <c r="E10" s="51">
        <v>3</v>
      </c>
      <c r="F10" s="52" t="s">
        <v>166</v>
      </c>
      <c r="G10" s="52">
        <v>1</v>
      </c>
      <c r="H10" s="53">
        <f t="shared" si="19"/>
        <v>0.35</v>
      </c>
      <c r="I10" s="53">
        <f t="shared" si="20"/>
        <v>2</v>
      </c>
      <c r="J10" s="53">
        <f t="shared" si="21"/>
        <v>0.7</v>
      </c>
      <c r="K10" s="53">
        <f>'P0-Z'!D6</f>
        <v>1139.125</v>
      </c>
      <c r="L10" s="53">
        <f t="shared" si="22"/>
        <v>577.25</v>
      </c>
      <c r="M10" s="53">
        <f t="shared" si="2"/>
        <v>1144.3</v>
      </c>
      <c r="N10" s="54">
        <f t="shared" si="3"/>
        <v>577.325</v>
      </c>
      <c r="O10" s="54">
        <f t="shared" si="23"/>
        <v>5.175</v>
      </c>
      <c r="P10" s="53">
        <f t="shared" si="24"/>
        <v>18.6</v>
      </c>
      <c r="Q10" s="54">
        <f t="shared" si="4"/>
        <v>0.07500000000004547</v>
      </c>
      <c r="R10" s="53">
        <f t="shared" si="25"/>
        <v>582.5</v>
      </c>
      <c r="S10" s="54">
        <f t="shared" si="5"/>
        <v>8.12887099116359</v>
      </c>
      <c r="T10" s="54">
        <f t="shared" si="6"/>
        <v>593.35</v>
      </c>
      <c r="U10" s="54">
        <f t="shared" si="7"/>
        <v>1591.5260603351142</v>
      </c>
      <c r="V10" s="53">
        <f t="shared" si="26"/>
        <v>2733.1</v>
      </c>
      <c r="W10" s="53">
        <f t="shared" si="8"/>
        <v>611</v>
      </c>
      <c r="X10" s="54">
        <f t="shared" si="9"/>
        <v>17.75</v>
      </c>
      <c r="Y10" s="54">
        <f t="shared" si="10"/>
        <v>27.881634800609415</v>
      </c>
      <c r="Z10" s="53">
        <f t="shared" si="27"/>
        <v>750</v>
      </c>
      <c r="AA10" s="53">
        <f t="shared" si="11"/>
        <v>139</v>
      </c>
      <c r="AB10" s="54">
        <f t="shared" si="0"/>
        <v>320.6676940385484</v>
      </c>
      <c r="AC10" s="53">
        <f t="shared" si="28"/>
        <v>2787.3</v>
      </c>
      <c r="AD10" s="53">
        <f t="shared" si="29"/>
        <v>1070.4</v>
      </c>
      <c r="AE10" s="53">
        <f t="shared" si="12"/>
        <v>23.349999999999998</v>
      </c>
      <c r="AF10" s="53">
        <f t="shared" si="30"/>
        <v>1076</v>
      </c>
      <c r="AG10" s="54">
        <f t="shared" si="13"/>
        <v>36.67809423066083</v>
      </c>
      <c r="AH10" s="54">
        <f t="shared" si="14"/>
        <v>405.69116332501</v>
      </c>
      <c r="AI10" s="53">
        <f t="shared" si="15"/>
        <v>3192.9</v>
      </c>
      <c r="AJ10" s="53">
        <f t="shared" si="16"/>
        <v>1100.4</v>
      </c>
      <c r="AK10" s="54">
        <f t="shared" si="17"/>
        <v>15.249999999999998</v>
      </c>
      <c r="AL10" s="300">
        <v>100.7023</v>
      </c>
      <c r="AM10" s="53">
        <v>3</v>
      </c>
      <c r="AN10" s="53">
        <f t="shared" si="33"/>
        <v>22</v>
      </c>
      <c r="AO10" s="53">
        <f t="shared" si="31"/>
        <v>2.17</v>
      </c>
      <c r="AP10" s="55">
        <f t="shared" si="32"/>
        <v>2673.1208177211065</v>
      </c>
      <c r="AQ10" s="77">
        <v>8</v>
      </c>
      <c r="AR10" s="14">
        <f t="shared" si="18"/>
        <v>8</v>
      </c>
      <c r="AT10" s="14">
        <v>94.5685</v>
      </c>
      <c r="AU10" s="14">
        <v>100.7023</v>
      </c>
      <c r="AV10" s="297">
        <f t="shared" si="1"/>
        <v>6.133799999999994</v>
      </c>
    </row>
    <row r="11" spans="1:48" s="14" customFormat="1" ht="12.75">
      <c r="A11" s="69">
        <v>1</v>
      </c>
      <c r="B11" s="69">
        <v>2</v>
      </c>
      <c r="C11" s="69">
        <v>15</v>
      </c>
      <c r="D11" s="70">
        <v>4</v>
      </c>
      <c r="E11" s="70">
        <v>1</v>
      </c>
      <c r="F11" s="71" t="s">
        <v>164</v>
      </c>
      <c r="G11" s="71">
        <v>3</v>
      </c>
      <c r="H11" s="72">
        <f t="shared" si="19"/>
        <v>0.35</v>
      </c>
      <c r="I11" s="72">
        <f t="shared" si="20"/>
        <v>2</v>
      </c>
      <c r="J11" s="72">
        <f t="shared" si="21"/>
        <v>0.7</v>
      </c>
      <c r="K11" s="72">
        <f>'P0-Z'!E4</f>
        <v>1323.025</v>
      </c>
      <c r="L11" s="72">
        <f t="shared" si="22"/>
        <v>577.25</v>
      </c>
      <c r="M11" s="72">
        <f t="shared" si="2"/>
        <v>1328.2</v>
      </c>
      <c r="N11" s="73">
        <f t="shared" si="3"/>
        <v>577.325</v>
      </c>
      <c r="O11" s="73">
        <f t="shared" si="23"/>
        <v>5.175</v>
      </c>
      <c r="P11" s="72">
        <f t="shared" si="24"/>
        <v>18.6</v>
      </c>
      <c r="Q11" s="73">
        <f t="shared" si="4"/>
        <v>0.07500000000004547</v>
      </c>
      <c r="R11" s="72">
        <f t="shared" si="25"/>
        <v>582.5</v>
      </c>
      <c r="S11" s="73">
        <f t="shared" si="5"/>
        <v>8.12887099116359</v>
      </c>
      <c r="T11" s="73">
        <f t="shared" si="6"/>
        <v>592.65</v>
      </c>
      <c r="U11" s="73">
        <f t="shared" si="7"/>
        <v>1407.1841799529257</v>
      </c>
      <c r="V11" s="72">
        <f t="shared" si="26"/>
        <v>2733.1</v>
      </c>
      <c r="W11" s="72">
        <f t="shared" si="8"/>
        <v>611</v>
      </c>
      <c r="X11" s="73">
        <f t="shared" si="9"/>
        <v>18.450000000000003</v>
      </c>
      <c r="Y11" s="73">
        <f t="shared" si="10"/>
        <v>28.981192229365845</v>
      </c>
      <c r="Z11" s="72">
        <f t="shared" si="27"/>
        <v>750</v>
      </c>
      <c r="AA11" s="72">
        <f t="shared" si="11"/>
        <v>139</v>
      </c>
      <c r="AB11" s="73">
        <f t="shared" si="0"/>
        <v>320.6676940385484</v>
      </c>
      <c r="AC11" s="72">
        <f t="shared" si="28"/>
        <v>2787.3</v>
      </c>
      <c r="AD11" s="72">
        <f t="shared" si="29"/>
        <v>1070.4</v>
      </c>
      <c r="AE11" s="72">
        <f t="shared" si="12"/>
        <v>22.65</v>
      </c>
      <c r="AF11" s="72">
        <f t="shared" si="30"/>
        <v>1076</v>
      </c>
      <c r="AG11" s="73">
        <f t="shared" si="13"/>
        <v>35.578536801904406</v>
      </c>
      <c r="AH11" s="73">
        <f t="shared" si="14"/>
        <v>405.69116332501</v>
      </c>
      <c r="AI11" s="72">
        <f t="shared" si="15"/>
        <v>3192.9</v>
      </c>
      <c r="AJ11" s="72">
        <f t="shared" si="16"/>
        <v>1100.4</v>
      </c>
      <c r="AK11" s="73">
        <f t="shared" si="17"/>
        <v>15.95</v>
      </c>
      <c r="AL11" s="299">
        <v>108.1451</v>
      </c>
      <c r="AM11" s="72">
        <v>1</v>
      </c>
      <c r="AN11" s="72">
        <f t="shared" si="33"/>
        <v>110</v>
      </c>
      <c r="AO11" s="72">
        <f t="shared" si="31"/>
        <v>2.17</v>
      </c>
      <c r="AP11" s="75">
        <f t="shared" si="32"/>
        <v>2584.2217373389185</v>
      </c>
      <c r="AQ11" s="80">
        <v>9</v>
      </c>
      <c r="AR11" s="14">
        <f t="shared" si="18"/>
        <v>24</v>
      </c>
      <c r="AT11" s="14">
        <v>100.3353</v>
      </c>
      <c r="AU11" s="14">
        <v>108.1451</v>
      </c>
      <c r="AV11" s="297">
        <f t="shared" si="1"/>
        <v>7.809799999999996</v>
      </c>
    </row>
    <row r="12" spans="1:48" s="14" customFormat="1" ht="12.75">
      <c r="A12" s="50"/>
      <c r="B12" s="50"/>
      <c r="C12" s="50">
        <v>14</v>
      </c>
      <c r="D12" s="51">
        <v>4</v>
      </c>
      <c r="E12" s="51">
        <v>2</v>
      </c>
      <c r="F12" s="52" t="s">
        <v>165</v>
      </c>
      <c r="G12" s="52">
        <v>3</v>
      </c>
      <c r="H12" s="53">
        <f t="shared" si="19"/>
        <v>0.35</v>
      </c>
      <c r="I12" s="53">
        <f t="shared" si="20"/>
        <v>2</v>
      </c>
      <c r="J12" s="53">
        <f t="shared" si="21"/>
        <v>0.7</v>
      </c>
      <c r="K12" s="53">
        <f>'P0-Z'!E5</f>
        <v>1335.275</v>
      </c>
      <c r="L12" s="53">
        <f t="shared" si="22"/>
        <v>577.25</v>
      </c>
      <c r="M12" s="53">
        <f t="shared" si="2"/>
        <v>1340.45</v>
      </c>
      <c r="N12" s="54">
        <f t="shared" si="3"/>
        <v>577.325</v>
      </c>
      <c r="O12" s="54">
        <f t="shared" si="23"/>
        <v>5.175</v>
      </c>
      <c r="P12" s="53">
        <f t="shared" si="24"/>
        <v>18.6</v>
      </c>
      <c r="Q12" s="54">
        <f t="shared" si="4"/>
        <v>0.07500000000004547</v>
      </c>
      <c r="R12" s="53">
        <f t="shared" si="25"/>
        <v>582.5</v>
      </c>
      <c r="S12" s="54">
        <f t="shared" si="5"/>
        <v>8.12887099116359</v>
      </c>
      <c r="T12" s="54">
        <f t="shared" si="6"/>
        <v>591.95</v>
      </c>
      <c r="U12" s="54">
        <f t="shared" si="7"/>
        <v>1394.925332767835</v>
      </c>
      <c r="V12" s="53">
        <f t="shared" si="26"/>
        <v>2733.1</v>
      </c>
      <c r="W12" s="53">
        <f t="shared" si="8"/>
        <v>611</v>
      </c>
      <c r="X12" s="54">
        <f t="shared" si="9"/>
        <v>19.150000000000002</v>
      </c>
      <c r="Y12" s="54">
        <f t="shared" si="10"/>
        <v>30.080749658122272</v>
      </c>
      <c r="Z12" s="53">
        <f t="shared" si="27"/>
        <v>750</v>
      </c>
      <c r="AA12" s="53">
        <f t="shared" si="11"/>
        <v>139</v>
      </c>
      <c r="AB12" s="54">
        <f t="shared" si="0"/>
        <v>320.6676940385484</v>
      </c>
      <c r="AC12" s="53">
        <f t="shared" si="28"/>
        <v>2787.3</v>
      </c>
      <c r="AD12" s="53">
        <f t="shared" si="29"/>
        <v>1070.4</v>
      </c>
      <c r="AE12" s="53">
        <f t="shared" si="12"/>
        <v>21.949999999999996</v>
      </c>
      <c r="AF12" s="53">
        <f t="shared" si="30"/>
        <v>1076</v>
      </c>
      <c r="AG12" s="54">
        <f t="shared" si="13"/>
        <v>34.47897937314797</v>
      </c>
      <c r="AH12" s="54">
        <f t="shared" si="14"/>
        <v>405.69116332501</v>
      </c>
      <c r="AI12" s="53">
        <f t="shared" si="15"/>
        <v>3192.9</v>
      </c>
      <c r="AJ12" s="53">
        <f t="shared" si="16"/>
        <v>1100.4</v>
      </c>
      <c r="AK12" s="54">
        <f t="shared" si="17"/>
        <v>16.650000000000002</v>
      </c>
      <c r="AL12" s="300">
        <v>108.479</v>
      </c>
      <c r="AM12" s="53">
        <v>2</v>
      </c>
      <c r="AN12" s="53">
        <f t="shared" si="33"/>
        <v>66</v>
      </c>
      <c r="AO12" s="53">
        <f t="shared" si="31"/>
        <v>2.17</v>
      </c>
      <c r="AP12" s="55">
        <f t="shared" si="32"/>
        <v>2528.2967901538273</v>
      </c>
      <c r="AQ12" s="77">
        <v>10</v>
      </c>
      <c r="AR12" s="14">
        <f t="shared" si="18"/>
        <v>24</v>
      </c>
      <c r="AT12" s="14">
        <v>100.6688</v>
      </c>
      <c r="AU12" s="14">
        <v>108.479</v>
      </c>
      <c r="AV12" s="297">
        <f t="shared" si="1"/>
        <v>7.810199999999995</v>
      </c>
    </row>
    <row r="13" spans="1:48" s="14" customFormat="1" ht="12.75">
      <c r="A13" s="50"/>
      <c r="B13" s="50"/>
      <c r="C13" s="50">
        <v>13</v>
      </c>
      <c r="D13" s="51">
        <v>4</v>
      </c>
      <c r="E13" s="51">
        <v>3</v>
      </c>
      <c r="F13" s="52" t="s">
        <v>166</v>
      </c>
      <c r="G13" s="52">
        <v>1</v>
      </c>
      <c r="H13" s="53">
        <f t="shared" si="19"/>
        <v>0.35</v>
      </c>
      <c r="I13" s="53">
        <f t="shared" si="20"/>
        <v>2</v>
      </c>
      <c r="J13" s="53">
        <f t="shared" si="21"/>
        <v>0.7</v>
      </c>
      <c r="K13" s="53">
        <f>'P0-Z'!E6</f>
        <v>1347.525</v>
      </c>
      <c r="L13" s="53">
        <f t="shared" si="22"/>
        <v>577.25</v>
      </c>
      <c r="M13" s="53">
        <f t="shared" si="2"/>
        <v>1352.7</v>
      </c>
      <c r="N13" s="54">
        <f t="shared" si="3"/>
        <v>577.325</v>
      </c>
      <c r="O13" s="54">
        <f t="shared" si="23"/>
        <v>5.175</v>
      </c>
      <c r="P13" s="53">
        <f t="shared" si="24"/>
        <v>18.6</v>
      </c>
      <c r="Q13" s="54">
        <f t="shared" si="4"/>
        <v>0.07500000000004547</v>
      </c>
      <c r="R13" s="53">
        <f t="shared" si="25"/>
        <v>582.5</v>
      </c>
      <c r="S13" s="54">
        <f t="shared" si="5"/>
        <v>8.12887099116359</v>
      </c>
      <c r="T13" s="54">
        <f t="shared" si="6"/>
        <v>591.25</v>
      </c>
      <c r="U13" s="54">
        <f t="shared" si="7"/>
        <v>1382.6677483646026</v>
      </c>
      <c r="V13" s="53">
        <f t="shared" si="26"/>
        <v>2733.1</v>
      </c>
      <c r="W13" s="53">
        <f t="shared" si="8"/>
        <v>611</v>
      </c>
      <c r="X13" s="54">
        <f t="shared" si="9"/>
        <v>19.85</v>
      </c>
      <c r="Y13" s="54">
        <f t="shared" si="10"/>
        <v>31.1803070868787</v>
      </c>
      <c r="Z13" s="53">
        <f t="shared" si="27"/>
        <v>750</v>
      </c>
      <c r="AA13" s="53">
        <f t="shared" si="11"/>
        <v>139</v>
      </c>
      <c r="AB13" s="54">
        <f t="shared" si="0"/>
        <v>320.6676940385484</v>
      </c>
      <c r="AC13" s="53">
        <f t="shared" si="28"/>
        <v>2787.3</v>
      </c>
      <c r="AD13" s="53">
        <f t="shared" si="29"/>
        <v>1070.4</v>
      </c>
      <c r="AE13" s="53">
        <f t="shared" si="12"/>
        <v>21.25</v>
      </c>
      <c r="AF13" s="53">
        <f t="shared" si="30"/>
        <v>1076</v>
      </c>
      <c r="AG13" s="54">
        <f t="shared" si="13"/>
        <v>33.37942194439155</v>
      </c>
      <c r="AH13" s="54">
        <f t="shared" si="14"/>
        <v>405.69116332501</v>
      </c>
      <c r="AI13" s="53">
        <f t="shared" si="15"/>
        <v>3192.9</v>
      </c>
      <c r="AJ13" s="53">
        <f t="shared" si="16"/>
        <v>1100.4</v>
      </c>
      <c r="AK13" s="54">
        <f t="shared" si="17"/>
        <v>17.35</v>
      </c>
      <c r="AL13" s="300">
        <v>108.8137</v>
      </c>
      <c r="AM13" s="53">
        <v>3</v>
      </c>
      <c r="AN13" s="53">
        <f t="shared" si="33"/>
        <v>22</v>
      </c>
      <c r="AO13" s="53">
        <f t="shared" si="31"/>
        <v>2.17</v>
      </c>
      <c r="AP13" s="55">
        <f t="shared" si="32"/>
        <v>2472.3739057505954</v>
      </c>
      <c r="AQ13" s="77">
        <v>11</v>
      </c>
      <c r="AR13" s="14">
        <f t="shared" si="18"/>
        <v>8</v>
      </c>
      <c r="AT13" s="14">
        <v>101.0031</v>
      </c>
      <c r="AU13" s="14">
        <v>108.8137</v>
      </c>
      <c r="AV13" s="297">
        <f t="shared" si="1"/>
        <v>7.810599999999994</v>
      </c>
    </row>
    <row r="14" spans="1:48" s="14" customFormat="1" ht="12.75">
      <c r="A14" s="69">
        <v>1</v>
      </c>
      <c r="B14" s="69">
        <v>2</v>
      </c>
      <c r="C14" s="69">
        <v>12</v>
      </c>
      <c r="D14" s="70">
        <v>5</v>
      </c>
      <c r="E14" s="70">
        <v>1</v>
      </c>
      <c r="F14" s="71" t="s">
        <v>164</v>
      </c>
      <c r="G14" s="71">
        <v>3</v>
      </c>
      <c r="H14" s="72">
        <f t="shared" si="19"/>
        <v>0.35</v>
      </c>
      <c r="I14" s="72">
        <f t="shared" si="20"/>
        <v>2</v>
      </c>
      <c r="J14" s="72">
        <f t="shared" si="21"/>
        <v>0.7</v>
      </c>
      <c r="K14" s="72">
        <f>'P0-Z'!F4</f>
        <v>1422.825</v>
      </c>
      <c r="L14" s="72">
        <f t="shared" si="22"/>
        <v>577.25</v>
      </c>
      <c r="M14" s="72">
        <f t="shared" si="2"/>
        <v>1428</v>
      </c>
      <c r="N14" s="73">
        <f t="shared" si="3"/>
        <v>577.325</v>
      </c>
      <c r="O14" s="73">
        <f t="shared" si="23"/>
        <v>5.175</v>
      </c>
      <c r="P14" s="72">
        <f t="shared" si="24"/>
        <v>18.6</v>
      </c>
      <c r="Q14" s="73">
        <f t="shared" si="4"/>
        <v>0.07500000000004547</v>
      </c>
      <c r="R14" s="72">
        <f t="shared" si="25"/>
        <v>582.5</v>
      </c>
      <c r="S14" s="73">
        <f t="shared" si="5"/>
        <v>8.12887099116359</v>
      </c>
      <c r="T14" s="73">
        <f t="shared" si="6"/>
        <v>590.55</v>
      </c>
      <c r="U14" s="73">
        <f t="shared" si="7"/>
        <v>1306.922714536836</v>
      </c>
      <c r="V14" s="72">
        <f t="shared" si="26"/>
        <v>2733.1</v>
      </c>
      <c r="W14" s="72">
        <f t="shared" si="8"/>
        <v>611</v>
      </c>
      <c r="X14" s="73">
        <f t="shared" si="9"/>
        <v>20.55</v>
      </c>
      <c r="Y14" s="73">
        <f t="shared" si="10"/>
        <v>32.279864515635126</v>
      </c>
      <c r="Z14" s="72">
        <f t="shared" si="27"/>
        <v>750</v>
      </c>
      <c r="AA14" s="72">
        <f t="shared" si="11"/>
        <v>139</v>
      </c>
      <c r="AB14" s="73">
        <f t="shared" si="0"/>
        <v>320.66769403854835</v>
      </c>
      <c r="AC14" s="72">
        <f t="shared" si="28"/>
        <v>2787.3</v>
      </c>
      <c r="AD14" s="72">
        <f t="shared" si="29"/>
        <v>1070.4</v>
      </c>
      <c r="AE14" s="72">
        <f t="shared" si="12"/>
        <v>20.549999999999997</v>
      </c>
      <c r="AF14" s="72">
        <f t="shared" si="30"/>
        <v>1076</v>
      </c>
      <c r="AG14" s="73">
        <f t="shared" si="13"/>
        <v>32.27986451563512</v>
      </c>
      <c r="AH14" s="73">
        <f t="shared" si="14"/>
        <v>405.69116332501</v>
      </c>
      <c r="AI14" s="72">
        <f t="shared" si="15"/>
        <v>3192.9</v>
      </c>
      <c r="AJ14" s="72">
        <f t="shared" si="16"/>
        <v>1100.4</v>
      </c>
      <c r="AK14" s="73">
        <f t="shared" si="17"/>
        <v>18.05</v>
      </c>
      <c r="AL14" s="299">
        <v>118.7582</v>
      </c>
      <c r="AM14" s="72">
        <v>1</v>
      </c>
      <c r="AN14" s="72">
        <f t="shared" si="33"/>
        <v>110</v>
      </c>
      <c r="AO14" s="72">
        <f t="shared" si="31"/>
        <v>2.17</v>
      </c>
      <c r="AP14" s="75">
        <f t="shared" si="32"/>
        <v>2494.5733719228288</v>
      </c>
      <c r="AQ14" s="80">
        <v>12</v>
      </c>
      <c r="AR14" s="14">
        <f t="shared" si="18"/>
        <v>24</v>
      </c>
      <c r="AT14" s="14">
        <v>109.6235</v>
      </c>
      <c r="AU14" s="14">
        <v>118.7582</v>
      </c>
      <c r="AV14" s="297">
        <f t="shared" si="1"/>
        <v>9.134699999999995</v>
      </c>
    </row>
    <row r="15" spans="1:48" s="14" customFormat="1" ht="12.75">
      <c r="A15" s="50"/>
      <c r="B15" s="50"/>
      <c r="C15" s="50">
        <v>11</v>
      </c>
      <c r="D15" s="51">
        <v>5</v>
      </c>
      <c r="E15" s="51">
        <v>2</v>
      </c>
      <c r="F15" s="52" t="s">
        <v>165</v>
      </c>
      <c r="G15" s="52">
        <v>3</v>
      </c>
      <c r="H15" s="53">
        <f t="shared" si="19"/>
        <v>0.35</v>
      </c>
      <c r="I15" s="53">
        <f t="shared" si="20"/>
        <v>2</v>
      </c>
      <c r="J15" s="53">
        <f t="shared" si="21"/>
        <v>0.7</v>
      </c>
      <c r="K15" s="53">
        <f>'P0-Z'!F5</f>
        <v>1435.075</v>
      </c>
      <c r="L15" s="53">
        <f t="shared" si="22"/>
        <v>577.25</v>
      </c>
      <c r="M15" s="53">
        <f t="shared" si="2"/>
        <v>1440.25</v>
      </c>
      <c r="N15" s="54">
        <f t="shared" si="3"/>
        <v>577.325</v>
      </c>
      <c r="O15" s="54">
        <f t="shared" si="23"/>
        <v>5.175</v>
      </c>
      <c r="P15" s="53">
        <f t="shared" si="24"/>
        <v>18.6</v>
      </c>
      <c r="Q15" s="54">
        <f t="shared" si="4"/>
        <v>0.07500000000004547</v>
      </c>
      <c r="R15" s="53">
        <f t="shared" si="25"/>
        <v>582.5</v>
      </c>
      <c r="S15" s="54">
        <f t="shared" si="5"/>
        <v>8.12887099116359</v>
      </c>
      <c r="T15" s="54">
        <f t="shared" si="6"/>
        <v>589.85</v>
      </c>
      <c r="U15" s="54">
        <f t="shared" si="7"/>
        <v>1294.6653497174404</v>
      </c>
      <c r="V15" s="53">
        <f t="shared" si="26"/>
        <v>2733.1</v>
      </c>
      <c r="W15" s="53">
        <f t="shared" si="8"/>
        <v>611</v>
      </c>
      <c r="X15" s="54">
        <f t="shared" si="9"/>
        <v>21.25</v>
      </c>
      <c r="Y15" s="54">
        <f t="shared" si="10"/>
        <v>33.37942194439155</v>
      </c>
      <c r="Z15" s="53">
        <f t="shared" si="27"/>
        <v>750</v>
      </c>
      <c r="AA15" s="53">
        <f t="shared" si="11"/>
        <v>139</v>
      </c>
      <c r="AB15" s="54">
        <f t="shared" si="0"/>
        <v>320.6676940385484</v>
      </c>
      <c r="AC15" s="53">
        <f t="shared" si="28"/>
        <v>2787.3</v>
      </c>
      <c r="AD15" s="53">
        <f t="shared" si="29"/>
        <v>1070.4</v>
      </c>
      <c r="AE15" s="53">
        <f t="shared" si="12"/>
        <v>19.849999999999998</v>
      </c>
      <c r="AF15" s="53">
        <f t="shared" si="30"/>
        <v>1076</v>
      </c>
      <c r="AG15" s="54">
        <f t="shared" si="13"/>
        <v>31.180307086878692</v>
      </c>
      <c r="AH15" s="54">
        <f t="shared" si="14"/>
        <v>405.69116332501</v>
      </c>
      <c r="AI15" s="53">
        <f t="shared" si="15"/>
        <v>3192.9</v>
      </c>
      <c r="AJ15" s="53">
        <f t="shared" si="16"/>
        <v>1100.4</v>
      </c>
      <c r="AK15" s="54">
        <f t="shared" si="17"/>
        <v>18.75</v>
      </c>
      <c r="AL15" s="300">
        <v>119.051</v>
      </c>
      <c r="AM15" s="53">
        <v>2</v>
      </c>
      <c r="AN15" s="53">
        <f t="shared" si="33"/>
        <v>66</v>
      </c>
      <c r="AO15" s="53">
        <f t="shared" si="31"/>
        <v>2.17</v>
      </c>
      <c r="AP15" s="55">
        <f t="shared" si="32"/>
        <v>2438.608807103433</v>
      </c>
      <c r="AQ15" s="77">
        <v>13</v>
      </c>
      <c r="AR15" s="14">
        <f t="shared" si="18"/>
        <v>24</v>
      </c>
      <c r="AT15" s="14">
        <v>109.9113</v>
      </c>
      <c r="AU15" s="14">
        <v>119.051</v>
      </c>
      <c r="AV15" s="297">
        <f t="shared" si="1"/>
        <v>9.139700000000005</v>
      </c>
    </row>
    <row r="16" spans="1:48" s="14" customFormat="1" ht="12.75">
      <c r="A16" s="50"/>
      <c r="B16" s="50"/>
      <c r="C16" s="50">
        <v>10</v>
      </c>
      <c r="D16" s="51">
        <v>5</v>
      </c>
      <c r="E16" s="51">
        <v>3</v>
      </c>
      <c r="F16" s="52" t="s">
        <v>166</v>
      </c>
      <c r="G16" s="52">
        <v>1</v>
      </c>
      <c r="H16" s="53">
        <f t="shared" si="19"/>
        <v>0.35</v>
      </c>
      <c r="I16" s="53">
        <f t="shared" si="20"/>
        <v>2</v>
      </c>
      <c r="J16" s="53">
        <f t="shared" si="21"/>
        <v>0.7</v>
      </c>
      <c r="K16" s="53">
        <f>'P0-Z'!F6</f>
        <v>1447.325</v>
      </c>
      <c r="L16" s="53">
        <f t="shared" si="22"/>
        <v>577.25</v>
      </c>
      <c r="M16" s="53">
        <f t="shared" si="2"/>
        <v>1452.5</v>
      </c>
      <c r="N16" s="54">
        <f t="shared" si="3"/>
        <v>577.325</v>
      </c>
      <c r="O16" s="54">
        <f t="shared" si="23"/>
        <v>5.175</v>
      </c>
      <c r="P16" s="53">
        <f t="shared" si="24"/>
        <v>18.6</v>
      </c>
      <c r="Q16" s="54">
        <f t="shared" si="4"/>
        <v>0.07500000000004547</v>
      </c>
      <c r="R16" s="53">
        <f t="shared" si="25"/>
        <v>582.5</v>
      </c>
      <c r="S16" s="54">
        <f t="shared" si="5"/>
        <v>8.12887099116359</v>
      </c>
      <c r="T16" s="54">
        <f t="shared" si="6"/>
        <v>589.15</v>
      </c>
      <c r="U16" s="54">
        <f t="shared" si="7"/>
        <v>1282.409374477635</v>
      </c>
      <c r="V16" s="53">
        <f t="shared" si="26"/>
        <v>2733.1</v>
      </c>
      <c r="W16" s="53">
        <f t="shared" si="8"/>
        <v>611</v>
      </c>
      <c r="X16" s="54">
        <f t="shared" si="9"/>
        <v>21.950000000000003</v>
      </c>
      <c r="Y16" s="54">
        <f t="shared" si="10"/>
        <v>34.478979373147986</v>
      </c>
      <c r="Z16" s="53">
        <f t="shared" si="27"/>
        <v>750</v>
      </c>
      <c r="AA16" s="53">
        <f t="shared" si="11"/>
        <v>139</v>
      </c>
      <c r="AB16" s="54">
        <f t="shared" si="0"/>
        <v>320.6676940385484</v>
      </c>
      <c r="AC16" s="53">
        <f t="shared" si="28"/>
        <v>2787.3</v>
      </c>
      <c r="AD16" s="53">
        <f t="shared" si="29"/>
        <v>1070.4</v>
      </c>
      <c r="AE16" s="53">
        <f t="shared" si="12"/>
        <v>19.15</v>
      </c>
      <c r="AF16" s="53">
        <f t="shared" si="30"/>
        <v>1076</v>
      </c>
      <c r="AG16" s="54">
        <f t="shared" si="13"/>
        <v>30.080749658122265</v>
      </c>
      <c r="AH16" s="54">
        <f t="shared" si="14"/>
        <v>405.69116332501</v>
      </c>
      <c r="AI16" s="53">
        <f t="shared" si="15"/>
        <v>3192.9</v>
      </c>
      <c r="AJ16" s="53">
        <f t="shared" si="16"/>
        <v>1100.4</v>
      </c>
      <c r="AK16" s="54">
        <f t="shared" si="17"/>
        <v>19.450000000000003</v>
      </c>
      <c r="AL16" s="300">
        <v>119.3533</v>
      </c>
      <c r="AM16" s="53">
        <v>3</v>
      </c>
      <c r="AN16" s="53">
        <f t="shared" si="33"/>
        <v>22</v>
      </c>
      <c r="AO16" s="53">
        <f t="shared" si="31"/>
        <v>2.17</v>
      </c>
      <c r="AP16" s="55">
        <f t="shared" si="32"/>
        <v>2382.6551318636275</v>
      </c>
      <c r="AQ16" s="77">
        <v>14</v>
      </c>
      <c r="AR16" s="14">
        <f t="shared" si="18"/>
        <v>8</v>
      </c>
      <c r="AT16" s="14">
        <v>110.2</v>
      </c>
      <c r="AU16" s="14">
        <v>119.3533</v>
      </c>
      <c r="AV16" s="297">
        <f t="shared" si="1"/>
        <v>9.153300000000002</v>
      </c>
    </row>
    <row r="17" spans="1:48" s="14" customFormat="1" ht="12.75">
      <c r="A17" s="69">
        <v>1</v>
      </c>
      <c r="B17" s="69">
        <v>2</v>
      </c>
      <c r="C17" s="69">
        <v>9</v>
      </c>
      <c r="D17" s="70">
        <v>6</v>
      </c>
      <c r="E17" s="70">
        <v>1</v>
      </c>
      <c r="F17" s="71" t="s">
        <v>164</v>
      </c>
      <c r="G17" s="71">
        <v>3</v>
      </c>
      <c r="H17" s="72">
        <f t="shared" si="19"/>
        <v>0.35</v>
      </c>
      <c r="I17" s="72">
        <f t="shared" si="20"/>
        <v>2</v>
      </c>
      <c r="J17" s="72">
        <f t="shared" si="21"/>
        <v>0.7</v>
      </c>
      <c r="K17" s="72">
        <f>'P0-Z'!G4</f>
        <v>1794.525</v>
      </c>
      <c r="L17" s="72">
        <f t="shared" si="22"/>
        <v>577.25</v>
      </c>
      <c r="M17" s="72">
        <f t="shared" si="2"/>
        <v>1799.7</v>
      </c>
      <c r="N17" s="73">
        <f t="shared" si="3"/>
        <v>577.325</v>
      </c>
      <c r="O17" s="73">
        <f t="shared" si="23"/>
        <v>5.175</v>
      </c>
      <c r="P17" s="72">
        <f t="shared" si="24"/>
        <v>18.6</v>
      </c>
      <c r="Q17" s="73">
        <f t="shared" si="4"/>
        <v>0.07500000000004547</v>
      </c>
      <c r="R17" s="72">
        <f t="shared" si="25"/>
        <v>582.5</v>
      </c>
      <c r="S17" s="73">
        <f t="shared" si="5"/>
        <v>8.12887099116359</v>
      </c>
      <c r="T17" s="73">
        <f t="shared" si="6"/>
        <v>588.45</v>
      </c>
      <c r="U17" s="73">
        <f t="shared" si="7"/>
        <v>934.7667986489207</v>
      </c>
      <c r="V17" s="72">
        <f t="shared" si="26"/>
        <v>2733.1</v>
      </c>
      <c r="W17" s="72">
        <f t="shared" si="8"/>
        <v>611</v>
      </c>
      <c r="X17" s="73">
        <f t="shared" si="9"/>
        <v>22.65</v>
      </c>
      <c r="Y17" s="73">
        <f t="shared" si="10"/>
        <v>35.578536801904406</v>
      </c>
      <c r="Z17" s="72">
        <f t="shared" si="27"/>
        <v>750</v>
      </c>
      <c r="AA17" s="72">
        <f t="shared" si="11"/>
        <v>139</v>
      </c>
      <c r="AB17" s="73">
        <f t="shared" si="0"/>
        <v>320.6676940385484</v>
      </c>
      <c r="AC17" s="72">
        <f t="shared" si="28"/>
        <v>2787.3</v>
      </c>
      <c r="AD17" s="72">
        <f t="shared" si="29"/>
        <v>1070.4</v>
      </c>
      <c r="AE17" s="72">
        <f t="shared" si="12"/>
        <v>18.45</v>
      </c>
      <c r="AF17" s="72">
        <f t="shared" si="30"/>
        <v>1076</v>
      </c>
      <c r="AG17" s="73">
        <f t="shared" si="13"/>
        <v>28.981192229365842</v>
      </c>
      <c r="AH17" s="73">
        <f t="shared" si="14"/>
        <v>405.69116332501</v>
      </c>
      <c r="AI17" s="72">
        <f t="shared" si="15"/>
        <v>3192.9</v>
      </c>
      <c r="AJ17" s="72">
        <f t="shared" si="16"/>
        <v>1100.4</v>
      </c>
      <c r="AK17" s="73">
        <f t="shared" si="17"/>
        <v>20.15</v>
      </c>
      <c r="AL17" s="299">
        <v>131.1952</v>
      </c>
      <c r="AM17" s="72">
        <v>1</v>
      </c>
      <c r="AN17" s="72">
        <f t="shared" si="33"/>
        <v>110</v>
      </c>
      <c r="AO17" s="72">
        <f t="shared" si="31"/>
        <v>2.17</v>
      </c>
      <c r="AP17" s="75">
        <f t="shared" si="32"/>
        <v>2134.8544560349133</v>
      </c>
      <c r="AQ17" s="80">
        <v>15</v>
      </c>
      <c r="AR17" s="14">
        <f t="shared" si="18"/>
        <v>24</v>
      </c>
      <c r="AT17" s="14">
        <v>120.9788</v>
      </c>
      <c r="AU17" s="14">
        <v>131.1952</v>
      </c>
      <c r="AV17" s="297">
        <f t="shared" si="1"/>
        <v>10.216399999999993</v>
      </c>
    </row>
    <row r="18" spans="1:48" s="14" customFormat="1" ht="12.75">
      <c r="A18" s="50"/>
      <c r="B18" s="50"/>
      <c r="C18" s="50">
        <v>8</v>
      </c>
      <c r="D18" s="51">
        <v>6</v>
      </c>
      <c r="E18" s="51">
        <v>2</v>
      </c>
      <c r="F18" s="52" t="s">
        <v>165</v>
      </c>
      <c r="G18" s="52">
        <v>3</v>
      </c>
      <c r="H18" s="53">
        <f t="shared" si="19"/>
        <v>0.35</v>
      </c>
      <c r="I18" s="53">
        <f t="shared" si="20"/>
        <v>2</v>
      </c>
      <c r="J18" s="53">
        <f t="shared" si="21"/>
        <v>0.7</v>
      </c>
      <c r="K18" s="53">
        <f>'P0-Z'!G5</f>
        <v>1806.775</v>
      </c>
      <c r="L18" s="53">
        <f t="shared" si="22"/>
        <v>577.25</v>
      </c>
      <c r="M18" s="53">
        <f t="shared" si="2"/>
        <v>1811.95</v>
      </c>
      <c r="N18" s="54">
        <f t="shared" si="3"/>
        <v>577.325</v>
      </c>
      <c r="O18" s="54">
        <f t="shared" si="23"/>
        <v>5.175</v>
      </c>
      <c r="P18" s="53">
        <f t="shared" si="24"/>
        <v>18.6</v>
      </c>
      <c r="Q18" s="54">
        <f t="shared" si="4"/>
        <v>0.07500000000004547</v>
      </c>
      <c r="R18" s="53">
        <f t="shared" si="25"/>
        <v>582.5</v>
      </c>
      <c r="S18" s="54">
        <f t="shared" si="5"/>
        <v>8.12887099116359</v>
      </c>
      <c r="T18" s="54">
        <f t="shared" si="6"/>
        <v>587.75</v>
      </c>
      <c r="U18" s="54">
        <f t="shared" si="7"/>
        <v>922.5095749380233</v>
      </c>
      <c r="V18" s="53">
        <f t="shared" si="26"/>
        <v>2733.1</v>
      </c>
      <c r="W18" s="53">
        <f t="shared" si="8"/>
        <v>611</v>
      </c>
      <c r="X18" s="54">
        <f t="shared" si="9"/>
        <v>23.35</v>
      </c>
      <c r="Y18" s="54">
        <f t="shared" si="10"/>
        <v>36.67809423066084</v>
      </c>
      <c r="Z18" s="53">
        <f t="shared" si="27"/>
        <v>750</v>
      </c>
      <c r="AA18" s="53">
        <f t="shared" si="11"/>
        <v>139</v>
      </c>
      <c r="AB18" s="54">
        <f t="shared" si="0"/>
        <v>320.6676940385484</v>
      </c>
      <c r="AC18" s="53">
        <f t="shared" si="28"/>
        <v>2787.3</v>
      </c>
      <c r="AD18" s="53">
        <f t="shared" si="29"/>
        <v>1070.4</v>
      </c>
      <c r="AE18" s="53">
        <f t="shared" si="12"/>
        <v>17.75</v>
      </c>
      <c r="AF18" s="53">
        <f t="shared" si="30"/>
        <v>1076</v>
      </c>
      <c r="AG18" s="54">
        <f t="shared" si="13"/>
        <v>27.881634800609415</v>
      </c>
      <c r="AH18" s="54">
        <f t="shared" si="14"/>
        <v>405.69116332501</v>
      </c>
      <c r="AI18" s="53">
        <f t="shared" si="15"/>
        <v>3192.9</v>
      </c>
      <c r="AJ18" s="53">
        <f t="shared" si="16"/>
        <v>1100.4</v>
      </c>
      <c r="AK18" s="54">
        <f t="shared" si="17"/>
        <v>20.85</v>
      </c>
      <c r="AL18" s="300">
        <v>131.4344</v>
      </c>
      <c r="AM18" s="53">
        <v>2</v>
      </c>
      <c r="AN18" s="53">
        <f t="shared" si="33"/>
        <v>66</v>
      </c>
      <c r="AO18" s="53">
        <f t="shared" si="31"/>
        <v>2.17</v>
      </c>
      <c r="AP18" s="55">
        <f t="shared" si="32"/>
        <v>2078.8364323240157</v>
      </c>
      <c r="AQ18" s="77">
        <v>16</v>
      </c>
      <c r="AR18" s="14">
        <f t="shared" si="18"/>
        <v>24</v>
      </c>
      <c r="AT18" s="14">
        <v>121.2272</v>
      </c>
      <c r="AU18" s="14">
        <v>131.4344</v>
      </c>
      <c r="AV18" s="297">
        <f t="shared" si="1"/>
        <v>10.207200000000014</v>
      </c>
    </row>
    <row r="19" spans="1:48" s="14" customFormat="1" ht="13.5" thickBot="1">
      <c r="A19" s="50"/>
      <c r="B19" s="50"/>
      <c r="C19" s="50">
        <v>7</v>
      </c>
      <c r="D19" s="51">
        <v>6</v>
      </c>
      <c r="E19" s="51">
        <v>3</v>
      </c>
      <c r="F19" s="52" t="s">
        <v>166</v>
      </c>
      <c r="G19" s="52">
        <v>1</v>
      </c>
      <c r="H19" s="53">
        <f t="shared" si="19"/>
        <v>0.35</v>
      </c>
      <c r="I19" s="53">
        <f t="shared" si="20"/>
        <v>2</v>
      </c>
      <c r="J19" s="53">
        <f t="shared" si="21"/>
        <v>0.7</v>
      </c>
      <c r="K19" s="53">
        <f>'P0-Z'!G6</f>
        <v>1819.025</v>
      </c>
      <c r="L19" s="53">
        <f t="shared" si="22"/>
        <v>577.25</v>
      </c>
      <c r="M19" s="53">
        <f t="shared" si="2"/>
        <v>1824.2</v>
      </c>
      <c r="N19" s="54">
        <f t="shared" si="3"/>
        <v>577.325</v>
      </c>
      <c r="O19" s="54">
        <f t="shared" si="23"/>
        <v>5.175</v>
      </c>
      <c r="P19" s="53">
        <f t="shared" si="24"/>
        <v>18.6</v>
      </c>
      <c r="Q19" s="54">
        <f t="shared" si="4"/>
        <v>0.07500000000004547</v>
      </c>
      <c r="R19" s="53">
        <f t="shared" si="25"/>
        <v>582.5</v>
      </c>
      <c r="S19" s="54">
        <f t="shared" si="5"/>
        <v>8.12887099116359</v>
      </c>
      <c r="T19" s="54">
        <f t="shared" si="6"/>
        <v>587.05</v>
      </c>
      <c r="U19" s="54">
        <f t="shared" si="7"/>
        <v>910.2543128954774</v>
      </c>
      <c r="V19" s="53">
        <f t="shared" si="26"/>
        <v>2733.1</v>
      </c>
      <c r="W19" s="53">
        <f t="shared" si="8"/>
        <v>611</v>
      </c>
      <c r="X19" s="54">
        <f t="shared" si="9"/>
        <v>24.05</v>
      </c>
      <c r="Y19" s="54">
        <f t="shared" si="10"/>
        <v>37.777651659417266</v>
      </c>
      <c r="Z19" s="53">
        <f t="shared" si="27"/>
        <v>750</v>
      </c>
      <c r="AA19" s="53">
        <f t="shared" si="11"/>
        <v>139</v>
      </c>
      <c r="AB19" s="54">
        <f t="shared" si="0"/>
        <v>320.66769403854835</v>
      </c>
      <c r="AC19" s="53">
        <f t="shared" si="28"/>
        <v>2787.3</v>
      </c>
      <c r="AD19" s="53">
        <f t="shared" si="29"/>
        <v>1070.4</v>
      </c>
      <c r="AE19" s="53">
        <f t="shared" si="12"/>
        <v>17.049999999999997</v>
      </c>
      <c r="AF19" s="53">
        <f t="shared" si="30"/>
        <v>1076</v>
      </c>
      <c r="AG19" s="54">
        <f t="shared" si="13"/>
        <v>26.78207737185298</v>
      </c>
      <c r="AH19" s="54">
        <f t="shared" si="14"/>
        <v>405.69116332501</v>
      </c>
      <c r="AI19" s="53">
        <f t="shared" si="15"/>
        <v>3192.9</v>
      </c>
      <c r="AJ19" s="53">
        <f t="shared" si="16"/>
        <v>1100.4</v>
      </c>
      <c r="AK19" s="54">
        <f t="shared" si="17"/>
        <v>21.55</v>
      </c>
      <c r="AL19" s="300">
        <v>131.7087</v>
      </c>
      <c r="AM19" s="53">
        <v>3</v>
      </c>
      <c r="AN19" s="53">
        <f t="shared" si="33"/>
        <v>22</v>
      </c>
      <c r="AO19" s="53">
        <f t="shared" si="31"/>
        <v>2.17</v>
      </c>
      <c r="AP19" s="55">
        <f t="shared" si="32"/>
        <v>2022.8554702814693</v>
      </c>
      <c r="AQ19" s="77">
        <v>17</v>
      </c>
      <c r="AR19" s="14">
        <f t="shared" si="18"/>
        <v>8</v>
      </c>
      <c r="AT19" s="14">
        <v>121.4766</v>
      </c>
      <c r="AU19" s="14">
        <v>131.7087</v>
      </c>
      <c r="AV19" s="297">
        <f t="shared" si="1"/>
        <v>10.232099999999988</v>
      </c>
    </row>
    <row r="20" spans="1:48" s="14" customFormat="1" ht="12.75">
      <c r="A20" s="69"/>
      <c r="B20" s="69">
        <v>3</v>
      </c>
      <c r="C20" s="69">
        <v>6</v>
      </c>
      <c r="D20" s="70">
        <v>7</v>
      </c>
      <c r="E20" s="70">
        <v>1</v>
      </c>
      <c r="F20" s="45" t="s">
        <v>162</v>
      </c>
      <c r="G20" s="71">
        <v>2</v>
      </c>
      <c r="H20" s="72">
        <f t="shared" si="19"/>
        <v>0.35</v>
      </c>
      <c r="I20" s="72">
        <f t="shared" si="20"/>
        <v>2</v>
      </c>
      <c r="J20" s="72">
        <f t="shared" si="21"/>
        <v>0.7</v>
      </c>
      <c r="K20" s="72">
        <f>'P0-Z'!H4</f>
        <v>2138.325</v>
      </c>
      <c r="L20" s="72">
        <f t="shared" si="22"/>
        <v>577.25</v>
      </c>
      <c r="M20" s="72">
        <f t="shared" si="2"/>
        <v>2143.5</v>
      </c>
      <c r="N20" s="73">
        <f t="shared" si="3"/>
        <v>577.325</v>
      </c>
      <c r="O20" s="73">
        <f t="shared" si="23"/>
        <v>5.175</v>
      </c>
      <c r="P20" s="72">
        <f t="shared" si="24"/>
        <v>18.6</v>
      </c>
      <c r="Q20" s="73">
        <f t="shared" si="4"/>
        <v>0.07500000000004547</v>
      </c>
      <c r="R20" s="72">
        <f t="shared" si="25"/>
        <v>582.5</v>
      </c>
      <c r="S20" s="73">
        <f t="shared" si="5"/>
        <v>8.12887099116359</v>
      </c>
      <c r="T20" s="73">
        <f t="shared" si="6"/>
        <v>586.35</v>
      </c>
      <c r="U20" s="73">
        <f t="shared" si="7"/>
        <v>590.5103883073973</v>
      </c>
      <c r="V20" s="72">
        <f t="shared" si="26"/>
        <v>2733.1</v>
      </c>
      <c r="W20" s="72">
        <f t="shared" si="8"/>
        <v>611</v>
      </c>
      <c r="X20" s="73">
        <f t="shared" si="9"/>
        <v>24.75</v>
      </c>
      <c r="Y20" s="73">
        <f t="shared" si="10"/>
        <v>38.87720908817369</v>
      </c>
      <c r="Z20" s="72">
        <f t="shared" si="27"/>
        <v>750</v>
      </c>
      <c r="AA20" s="72">
        <f t="shared" si="11"/>
        <v>139</v>
      </c>
      <c r="AB20" s="73">
        <f t="shared" si="0"/>
        <v>320.6676940385484</v>
      </c>
      <c r="AC20" s="72">
        <f t="shared" si="28"/>
        <v>2787.3</v>
      </c>
      <c r="AD20" s="72">
        <f t="shared" si="29"/>
        <v>1070.4</v>
      </c>
      <c r="AE20" s="72">
        <f t="shared" si="12"/>
        <v>16.349999999999998</v>
      </c>
      <c r="AF20" s="72">
        <f t="shared" si="30"/>
        <v>1076</v>
      </c>
      <c r="AG20" s="73">
        <f t="shared" si="13"/>
        <v>25.682519943096555</v>
      </c>
      <c r="AH20" s="73">
        <f t="shared" si="14"/>
        <v>405.69116332501</v>
      </c>
      <c r="AI20" s="72">
        <f t="shared" si="15"/>
        <v>3192.9</v>
      </c>
      <c r="AJ20" s="72">
        <f t="shared" si="16"/>
        <v>1100.4</v>
      </c>
      <c r="AK20" s="73">
        <f t="shared" si="17"/>
        <v>22.25</v>
      </c>
      <c r="AL20" s="299">
        <v>180.4107</v>
      </c>
      <c r="AM20" s="72">
        <v>1</v>
      </c>
      <c r="AN20" s="72">
        <f aca="true" t="shared" si="34" ref="AN20:AN25">AN18</f>
        <v>66</v>
      </c>
      <c r="AO20" s="72">
        <f t="shared" si="31"/>
        <v>2.17</v>
      </c>
      <c r="AP20" s="75">
        <f t="shared" si="32"/>
        <v>1795.8135456933896</v>
      </c>
      <c r="AQ20" s="80">
        <v>18</v>
      </c>
      <c r="AR20" s="14">
        <f t="shared" si="18"/>
        <v>16</v>
      </c>
      <c r="AT20" s="14">
        <v>170.4003</v>
      </c>
      <c r="AU20" s="14">
        <v>180.4107</v>
      </c>
      <c r="AV20" s="297">
        <f t="shared" si="1"/>
        <v>10.010400000000004</v>
      </c>
    </row>
    <row r="21" spans="1:48" s="14" customFormat="1" ht="13.5" thickBot="1">
      <c r="A21" s="50"/>
      <c r="B21" s="50"/>
      <c r="C21" s="50">
        <v>5</v>
      </c>
      <c r="D21" s="51">
        <v>7</v>
      </c>
      <c r="E21" s="51">
        <v>2</v>
      </c>
      <c r="F21" s="64" t="s">
        <v>163</v>
      </c>
      <c r="G21" s="52">
        <v>3</v>
      </c>
      <c r="H21" s="53">
        <f t="shared" si="19"/>
        <v>0.35</v>
      </c>
      <c r="I21" s="53">
        <f t="shared" si="20"/>
        <v>2</v>
      </c>
      <c r="J21" s="53">
        <f t="shared" si="21"/>
        <v>0.7</v>
      </c>
      <c r="K21" s="53">
        <f>'P0-Z'!H5</f>
        <v>2150.575</v>
      </c>
      <c r="L21" s="53">
        <f t="shared" si="22"/>
        <v>577.25</v>
      </c>
      <c r="M21" s="53">
        <f t="shared" si="2"/>
        <v>2155.75</v>
      </c>
      <c r="N21" s="54">
        <f t="shared" si="3"/>
        <v>577.325</v>
      </c>
      <c r="O21" s="54">
        <f t="shared" si="23"/>
        <v>5.175</v>
      </c>
      <c r="P21" s="53">
        <f t="shared" si="24"/>
        <v>18.6</v>
      </c>
      <c r="Q21" s="54">
        <f t="shared" si="4"/>
        <v>0.07500000000004547</v>
      </c>
      <c r="R21" s="53">
        <f t="shared" si="25"/>
        <v>582.5</v>
      </c>
      <c r="S21" s="54">
        <f t="shared" si="5"/>
        <v>8.12887099116359</v>
      </c>
      <c r="T21" s="54">
        <f t="shared" si="6"/>
        <v>585.65</v>
      </c>
      <c r="U21" s="54">
        <f t="shared" si="7"/>
        <v>578.2538191611794</v>
      </c>
      <c r="V21" s="53">
        <f t="shared" si="26"/>
        <v>2733.1</v>
      </c>
      <c r="W21" s="53">
        <f t="shared" si="8"/>
        <v>611</v>
      </c>
      <c r="X21" s="54">
        <f t="shared" si="9"/>
        <v>25.450000000000003</v>
      </c>
      <c r="Y21" s="54">
        <f t="shared" si="10"/>
        <v>39.97676651693012</v>
      </c>
      <c r="Z21" s="53">
        <f t="shared" si="27"/>
        <v>750</v>
      </c>
      <c r="AA21" s="53">
        <f t="shared" si="11"/>
        <v>139</v>
      </c>
      <c r="AB21" s="54">
        <f t="shared" si="0"/>
        <v>320.6676940385484</v>
      </c>
      <c r="AC21" s="53">
        <f t="shared" si="28"/>
        <v>2787.3</v>
      </c>
      <c r="AD21" s="53">
        <f t="shared" si="29"/>
        <v>1070.4</v>
      </c>
      <c r="AE21" s="53">
        <f t="shared" si="12"/>
        <v>15.65</v>
      </c>
      <c r="AF21" s="53">
        <f t="shared" si="30"/>
        <v>1076</v>
      </c>
      <c r="AG21" s="54">
        <f t="shared" si="13"/>
        <v>24.58296251434013</v>
      </c>
      <c r="AH21" s="54">
        <f t="shared" si="14"/>
        <v>405.69116332501</v>
      </c>
      <c r="AI21" s="53">
        <f t="shared" si="15"/>
        <v>3192.9</v>
      </c>
      <c r="AJ21" s="53">
        <f t="shared" si="16"/>
        <v>1100.4</v>
      </c>
      <c r="AK21" s="54">
        <f t="shared" si="17"/>
        <v>22.950000000000003</v>
      </c>
      <c r="AL21" s="300">
        <v>180.6772</v>
      </c>
      <c r="AM21" s="53">
        <v>2</v>
      </c>
      <c r="AN21" s="53">
        <f t="shared" si="34"/>
        <v>22</v>
      </c>
      <c r="AO21" s="53">
        <f t="shared" si="31"/>
        <v>2.17</v>
      </c>
      <c r="AP21" s="55">
        <f t="shared" si="32"/>
        <v>1739.8234765471718</v>
      </c>
      <c r="AQ21" s="77">
        <v>19</v>
      </c>
      <c r="AR21" s="14">
        <f t="shared" si="18"/>
        <v>24</v>
      </c>
      <c r="AT21" s="14">
        <v>170.8148</v>
      </c>
      <c r="AU21" s="14">
        <v>180.6772</v>
      </c>
      <c r="AV21" s="297">
        <f t="shared" si="1"/>
        <v>9.862400000000008</v>
      </c>
    </row>
    <row r="22" spans="1:48" s="14" customFormat="1" ht="12.75">
      <c r="A22" s="69"/>
      <c r="B22" s="69">
        <v>3</v>
      </c>
      <c r="C22" s="69">
        <v>4</v>
      </c>
      <c r="D22" s="70">
        <v>8</v>
      </c>
      <c r="E22" s="70">
        <v>1</v>
      </c>
      <c r="F22" s="45" t="s">
        <v>162</v>
      </c>
      <c r="G22" s="71">
        <v>2</v>
      </c>
      <c r="H22" s="72">
        <f t="shared" si="19"/>
        <v>0.35</v>
      </c>
      <c r="I22" s="72">
        <f t="shared" si="20"/>
        <v>2</v>
      </c>
      <c r="J22" s="72">
        <f t="shared" si="21"/>
        <v>0.7</v>
      </c>
      <c r="K22" s="72">
        <f>'P0-Z'!I4</f>
        <v>2528.125</v>
      </c>
      <c r="L22" s="72">
        <f t="shared" si="22"/>
        <v>577.25</v>
      </c>
      <c r="M22" s="72">
        <f t="shared" si="2"/>
        <v>2533.3</v>
      </c>
      <c r="N22" s="73">
        <f t="shared" si="3"/>
        <v>577.325</v>
      </c>
      <c r="O22" s="73">
        <f t="shared" si="23"/>
        <v>5.175</v>
      </c>
      <c r="P22" s="72">
        <f t="shared" si="24"/>
        <v>18.6</v>
      </c>
      <c r="Q22" s="73">
        <f t="shared" si="4"/>
        <v>0.07500000000004547</v>
      </c>
      <c r="R22" s="72">
        <f t="shared" si="25"/>
        <v>582.5</v>
      </c>
      <c r="S22" s="73">
        <f t="shared" si="5"/>
        <v>8.12887099116359</v>
      </c>
      <c r="T22" s="73">
        <f t="shared" si="6"/>
        <v>584.95</v>
      </c>
      <c r="U22" s="73">
        <f t="shared" si="7"/>
        <v>200.26103573126258</v>
      </c>
      <c r="V22" s="72">
        <f t="shared" si="26"/>
        <v>2733.1</v>
      </c>
      <c r="W22" s="72">
        <f t="shared" si="8"/>
        <v>611</v>
      </c>
      <c r="X22" s="73">
        <f t="shared" si="9"/>
        <v>26.15</v>
      </c>
      <c r="Y22" s="73">
        <f t="shared" si="10"/>
        <v>41.07632394568654</v>
      </c>
      <c r="Z22" s="72">
        <f t="shared" si="27"/>
        <v>750</v>
      </c>
      <c r="AA22" s="72">
        <f t="shared" si="11"/>
        <v>139</v>
      </c>
      <c r="AB22" s="73">
        <f t="shared" si="0"/>
        <v>320.6676940385484</v>
      </c>
      <c r="AC22" s="72">
        <f t="shared" si="28"/>
        <v>2787.3</v>
      </c>
      <c r="AD22" s="72">
        <f t="shared" si="29"/>
        <v>1070.4</v>
      </c>
      <c r="AE22" s="72">
        <f t="shared" si="12"/>
        <v>14.950000000000001</v>
      </c>
      <c r="AF22" s="72">
        <f t="shared" si="30"/>
        <v>1076</v>
      </c>
      <c r="AG22" s="73">
        <f t="shared" si="13"/>
        <v>23.483405085583705</v>
      </c>
      <c r="AH22" s="73">
        <f t="shared" si="14"/>
        <v>405.69116332501</v>
      </c>
      <c r="AI22" s="72">
        <f t="shared" si="15"/>
        <v>3192.9</v>
      </c>
      <c r="AJ22" s="72">
        <f t="shared" si="16"/>
        <v>1100.4</v>
      </c>
      <c r="AK22" s="73">
        <f t="shared" si="17"/>
        <v>23.65</v>
      </c>
      <c r="AL22" s="299">
        <v>189.1822</v>
      </c>
      <c r="AM22" s="72">
        <v>1</v>
      </c>
      <c r="AN22" s="72">
        <f t="shared" si="34"/>
        <v>66</v>
      </c>
      <c r="AO22" s="72">
        <f t="shared" si="31"/>
        <v>2.17</v>
      </c>
      <c r="AP22" s="75">
        <f t="shared" si="32"/>
        <v>1414.335693117255</v>
      </c>
      <c r="AQ22" s="80">
        <v>20</v>
      </c>
      <c r="AR22" s="14">
        <f t="shared" si="18"/>
        <v>16</v>
      </c>
      <c r="AT22" s="14">
        <v>177.0682</v>
      </c>
      <c r="AU22" s="14">
        <v>189.1822</v>
      </c>
      <c r="AV22" s="297">
        <f t="shared" si="1"/>
        <v>12.114000000000004</v>
      </c>
    </row>
    <row r="23" spans="1:48" s="14" customFormat="1" ht="12.75">
      <c r="A23" s="50"/>
      <c r="B23" s="50"/>
      <c r="C23" s="50">
        <v>3</v>
      </c>
      <c r="D23" s="51">
        <v>8</v>
      </c>
      <c r="E23" s="51">
        <v>2</v>
      </c>
      <c r="F23" s="64" t="s">
        <v>163</v>
      </c>
      <c r="G23" s="52">
        <v>3</v>
      </c>
      <c r="H23" s="53">
        <f t="shared" si="19"/>
        <v>0.35</v>
      </c>
      <c r="I23" s="53">
        <f t="shared" si="20"/>
        <v>2</v>
      </c>
      <c r="J23" s="53">
        <f t="shared" si="21"/>
        <v>0.7</v>
      </c>
      <c r="K23" s="53">
        <f>'P0-Z'!I5</f>
        <v>2540.375</v>
      </c>
      <c r="L23" s="53">
        <f t="shared" si="22"/>
        <v>577.25</v>
      </c>
      <c r="M23" s="53">
        <f t="shared" si="2"/>
        <v>2545.55</v>
      </c>
      <c r="N23" s="54">
        <f t="shared" si="3"/>
        <v>577.325</v>
      </c>
      <c r="O23" s="54">
        <f t="shared" si="23"/>
        <v>5.175</v>
      </c>
      <c r="P23" s="53">
        <f t="shared" si="24"/>
        <v>18.6</v>
      </c>
      <c r="Q23" s="54">
        <f t="shared" si="4"/>
        <v>0.07500000000004547</v>
      </c>
      <c r="R23" s="53">
        <f t="shared" si="25"/>
        <v>582.5</v>
      </c>
      <c r="S23" s="54">
        <f t="shared" si="5"/>
        <v>8.12887099116359</v>
      </c>
      <c r="T23" s="54">
        <f t="shared" si="6"/>
        <v>584.25</v>
      </c>
      <c r="U23" s="54">
        <f t="shared" si="7"/>
        <v>188.0013063137655</v>
      </c>
      <c r="V23" s="53">
        <f t="shared" si="26"/>
        <v>2733.1</v>
      </c>
      <c r="W23" s="53">
        <f t="shared" si="8"/>
        <v>611</v>
      </c>
      <c r="X23" s="54">
        <f t="shared" si="9"/>
        <v>26.85</v>
      </c>
      <c r="Y23" s="54">
        <f t="shared" si="10"/>
        <v>42.17588137444297</v>
      </c>
      <c r="Z23" s="53">
        <f t="shared" si="27"/>
        <v>750</v>
      </c>
      <c r="AA23" s="53">
        <f t="shared" si="11"/>
        <v>139</v>
      </c>
      <c r="AB23" s="54">
        <f t="shared" si="0"/>
        <v>320.6676940385484</v>
      </c>
      <c r="AC23" s="53">
        <f t="shared" si="28"/>
        <v>2787.3</v>
      </c>
      <c r="AD23" s="53">
        <f t="shared" si="29"/>
        <v>1070.4</v>
      </c>
      <c r="AE23" s="53">
        <f t="shared" si="12"/>
        <v>14.25</v>
      </c>
      <c r="AF23" s="53">
        <f t="shared" si="30"/>
        <v>1076</v>
      </c>
      <c r="AG23" s="54">
        <f t="shared" si="13"/>
        <v>22.383847656827275</v>
      </c>
      <c r="AH23" s="54">
        <f t="shared" si="14"/>
        <v>405.69116332501</v>
      </c>
      <c r="AI23" s="53">
        <f t="shared" si="15"/>
        <v>3192.9</v>
      </c>
      <c r="AJ23" s="53">
        <f t="shared" si="16"/>
        <v>1100.4</v>
      </c>
      <c r="AK23" s="54">
        <f t="shared" si="17"/>
        <v>24.35</v>
      </c>
      <c r="AL23" s="300">
        <v>189.4516</v>
      </c>
      <c r="AM23" s="53">
        <v>2</v>
      </c>
      <c r="AN23" s="53">
        <f t="shared" si="34"/>
        <v>22</v>
      </c>
      <c r="AO23" s="53">
        <f t="shared" si="31"/>
        <v>2.17</v>
      </c>
      <c r="AP23" s="55">
        <f t="shared" si="32"/>
        <v>1358.3453636997579</v>
      </c>
      <c r="AQ23" s="77">
        <v>21</v>
      </c>
      <c r="AR23" s="14">
        <f t="shared" si="18"/>
        <v>24</v>
      </c>
      <c r="AT23" s="14">
        <v>177.3614</v>
      </c>
      <c r="AU23" s="14">
        <v>189.4516</v>
      </c>
      <c r="AV23" s="297">
        <f t="shared" si="1"/>
        <v>12.09020000000001</v>
      </c>
    </row>
    <row r="24" spans="1:48" s="14" customFormat="1" ht="12.75">
      <c r="A24" s="69"/>
      <c r="B24" s="69">
        <v>3</v>
      </c>
      <c r="C24" s="69">
        <v>2</v>
      </c>
      <c r="D24" s="70">
        <v>9</v>
      </c>
      <c r="E24" s="70">
        <v>1</v>
      </c>
      <c r="F24" s="71" t="s">
        <v>167</v>
      </c>
      <c r="G24" s="71">
        <v>1</v>
      </c>
      <c r="H24" s="72">
        <f t="shared" si="19"/>
        <v>0.35</v>
      </c>
      <c r="I24" s="72">
        <f t="shared" si="20"/>
        <v>2</v>
      </c>
      <c r="J24" s="72">
        <f t="shared" si="21"/>
        <v>0.7</v>
      </c>
      <c r="K24" s="72">
        <f>'P0-Z'!J5</f>
        <v>2683.9757</v>
      </c>
      <c r="L24" s="72">
        <f t="shared" si="22"/>
        <v>577.25</v>
      </c>
      <c r="M24" s="72">
        <f t="shared" si="2"/>
        <v>2689.1507</v>
      </c>
      <c r="N24" s="73">
        <f t="shared" si="3"/>
        <v>577.325</v>
      </c>
      <c r="O24" s="73">
        <f t="shared" si="23"/>
        <v>5.175</v>
      </c>
      <c r="P24" s="72">
        <f t="shared" si="24"/>
        <v>18.6</v>
      </c>
      <c r="Q24" s="73">
        <f t="shared" si="4"/>
        <v>0.07500000000004547</v>
      </c>
      <c r="R24" s="72">
        <f t="shared" si="25"/>
        <v>582.5</v>
      </c>
      <c r="S24" s="73">
        <f t="shared" si="5"/>
        <v>8.12887099116359</v>
      </c>
      <c r="T24" s="73">
        <f t="shared" si="6"/>
        <v>583.55</v>
      </c>
      <c r="U24" s="73">
        <f t="shared" si="7"/>
        <v>43.95487425178213</v>
      </c>
      <c r="V24" s="72">
        <f t="shared" si="26"/>
        <v>2733.1</v>
      </c>
      <c r="W24" s="72">
        <f t="shared" si="8"/>
        <v>611</v>
      </c>
      <c r="X24" s="73">
        <f t="shared" si="9"/>
        <v>27.55</v>
      </c>
      <c r="Y24" s="73">
        <f t="shared" si="10"/>
        <v>43.2754388031994</v>
      </c>
      <c r="Z24" s="72">
        <f t="shared" si="27"/>
        <v>750</v>
      </c>
      <c r="AA24" s="72">
        <f t="shared" si="11"/>
        <v>139</v>
      </c>
      <c r="AB24" s="73">
        <f t="shared" si="0"/>
        <v>320.66769403854835</v>
      </c>
      <c r="AC24" s="72">
        <f t="shared" si="28"/>
        <v>2787.3</v>
      </c>
      <c r="AD24" s="72">
        <f t="shared" si="29"/>
        <v>1070.4</v>
      </c>
      <c r="AE24" s="72">
        <f t="shared" si="12"/>
        <v>13.55</v>
      </c>
      <c r="AF24" s="72">
        <f t="shared" si="30"/>
        <v>1076</v>
      </c>
      <c r="AG24" s="73">
        <f t="shared" si="13"/>
        <v>21.284290228070848</v>
      </c>
      <c r="AH24" s="73">
        <f t="shared" si="14"/>
        <v>405.69116332501</v>
      </c>
      <c r="AI24" s="72">
        <f t="shared" si="15"/>
        <v>3192.9</v>
      </c>
      <c r="AJ24" s="72">
        <f t="shared" si="16"/>
        <v>1100.4</v>
      </c>
      <c r="AK24" s="73">
        <f t="shared" si="17"/>
        <v>25.05</v>
      </c>
      <c r="AL24" s="299">
        <v>201.7113</v>
      </c>
      <c r="AM24" s="72">
        <v>1</v>
      </c>
      <c r="AN24" s="72">
        <f t="shared" si="34"/>
        <v>66</v>
      </c>
      <c r="AO24" s="72">
        <f t="shared" si="31"/>
        <v>2.17</v>
      </c>
      <c r="AP24" s="75">
        <f t="shared" si="32"/>
        <v>1270.5586316377744</v>
      </c>
      <c r="AQ24" s="80">
        <v>22</v>
      </c>
      <c r="AR24" s="14">
        <f t="shared" si="18"/>
        <v>8</v>
      </c>
      <c r="AT24" s="14">
        <v>189.1481</v>
      </c>
      <c r="AU24" s="14">
        <v>201.7113</v>
      </c>
      <c r="AV24" s="297">
        <f t="shared" si="1"/>
        <v>12.563199999999995</v>
      </c>
    </row>
    <row r="25" spans="1:48" s="14" customFormat="1" ht="13.5" thickBot="1">
      <c r="A25" s="56"/>
      <c r="B25" s="56"/>
      <c r="C25" s="56">
        <v>1</v>
      </c>
      <c r="D25" s="57">
        <v>9</v>
      </c>
      <c r="E25" s="57">
        <v>2</v>
      </c>
      <c r="F25" s="58" t="s">
        <v>64</v>
      </c>
      <c r="G25" s="58">
        <v>3</v>
      </c>
      <c r="H25" s="59">
        <f t="shared" si="19"/>
        <v>0.35</v>
      </c>
      <c r="I25" s="59">
        <f t="shared" si="20"/>
        <v>2</v>
      </c>
      <c r="J25" s="59">
        <f t="shared" si="21"/>
        <v>0.7</v>
      </c>
      <c r="K25" s="59">
        <f>'P0-Z'!J6</f>
        <v>2696.2257</v>
      </c>
      <c r="L25" s="59">
        <f t="shared" si="22"/>
        <v>577.25</v>
      </c>
      <c r="M25" s="59">
        <f t="shared" si="2"/>
        <v>2701.4007</v>
      </c>
      <c r="N25" s="60">
        <f t="shared" si="3"/>
        <v>577.325</v>
      </c>
      <c r="O25" s="60">
        <f t="shared" si="23"/>
        <v>5.175</v>
      </c>
      <c r="P25" s="59">
        <f t="shared" si="24"/>
        <v>18.6</v>
      </c>
      <c r="Q25" s="60">
        <f t="shared" si="4"/>
        <v>0.07500000000004547</v>
      </c>
      <c r="R25" s="59">
        <f t="shared" si="25"/>
        <v>582.5</v>
      </c>
      <c r="S25" s="60">
        <f t="shared" si="5"/>
        <v>8.12887099116359</v>
      </c>
      <c r="T25" s="60">
        <f t="shared" si="6"/>
        <v>582.85</v>
      </c>
      <c r="U25" s="60">
        <f t="shared" si="7"/>
        <v>31.707027935301426</v>
      </c>
      <c r="V25" s="59">
        <f t="shared" si="26"/>
        <v>2733.1</v>
      </c>
      <c r="W25" s="59">
        <f t="shared" si="8"/>
        <v>611</v>
      </c>
      <c r="X25" s="60">
        <f t="shared" si="9"/>
        <v>28.25</v>
      </c>
      <c r="Y25" s="60">
        <f t="shared" si="10"/>
        <v>44.374996231955826</v>
      </c>
      <c r="Z25" s="59">
        <f t="shared" si="27"/>
        <v>750</v>
      </c>
      <c r="AA25" s="59">
        <f t="shared" si="11"/>
        <v>139</v>
      </c>
      <c r="AB25" s="60">
        <f>SQRT((POWER((AD25-Z25),2))+(POWER(((AC25-AE25)-(V25+X25)),2)))</f>
        <v>320.6676940385484</v>
      </c>
      <c r="AC25" s="59">
        <f t="shared" si="28"/>
        <v>2787.3</v>
      </c>
      <c r="AD25" s="59">
        <f t="shared" si="29"/>
        <v>1070.4</v>
      </c>
      <c r="AE25" s="59">
        <f t="shared" si="12"/>
        <v>12.85</v>
      </c>
      <c r="AF25" s="59">
        <f t="shared" si="30"/>
        <v>1076</v>
      </c>
      <c r="AG25" s="60">
        <f t="shared" si="13"/>
        <v>20.18473279931442</v>
      </c>
      <c r="AH25" s="60">
        <f t="shared" si="14"/>
        <v>405.69116332501</v>
      </c>
      <c r="AI25" s="59">
        <f t="shared" si="15"/>
        <v>3192.9</v>
      </c>
      <c r="AJ25" s="59">
        <f t="shared" si="16"/>
        <v>1100.4</v>
      </c>
      <c r="AK25" s="60">
        <f t="shared" si="17"/>
        <v>25.75</v>
      </c>
      <c r="AL25" s="301">
        <v>201.9316</v>
      </c>
      <c r="AM25" s="59">
        <v>2</v>
      </c>
      <c r="AN25" s="59">
        <f t="shared" si="34"/>
        <v>22</v>
      </c>
      <c r="AO25" s="59">
        <f t="shared" si="31"/>
        <v>2.17</v>
      </c>
      <c r="AP25" s="61">
        <f t="shared" si="32"/>
        <v>1214.5310853212936</v>
      </c>
      <c r="AQ25" s="78">
        <v>23</v>
      </c>
      <c r="AR25" s="14">
        <f t="shared" si="18"/>
        <v>24</v>
      </c>
      <c r="AT25" s="14">
        <v>189.369</v>
      </c>
      <c r="AU25" s="14">
        <v>201.9316</v>
      </c>
      <c r="AV25" s="297">
        <f t="shared" si="1"/>
        <v>12.562600000000003</v>
      </c>
    </row>
    <row r="26" spans="1:44" s="87" customFormat="1" ht="12.75">
      <c r="A26" s="83"/>
      <c r="B26" s="83"/>
      <c r="C26" s="83"/>
      <c r="D26" s="83"/>
      <c r="E26" s="83"/>
      <c r="F26" s="83" t="s">
        <v>147</v>
      </c>
      <c r="G26" s="83"/>
      <c r="H26" s="84"/>
      <c r="I26" s="84"/>
      <c r="J26" s="84"/>
      <c r="K26" s="84"/>
      <c r="L26" s="84"/>
      <c r="M26" s="84"/>
      <c r="N26" s="84"/>
      <c r="O26" s="84"/>
      <c r="P26" s="84"/>
      <c r="Q26" s="85"/>
      <c r="R26" s="84"/>
      <c r="S26" s="85"/>
      <c r="T26" s="85"/>
      <c r="U26" s="85"/>
      <c r="V26" s="84"/>
      <c r="W26" s="84"/>
      <c r="X26" s="84"/>
      <c r="Y26" s="85"/>
      <c r="Z26" s="84"/>
      <c r="AA26" s="84"/>
      <c r="AB26" s="85"/>
      <c r="AC26" s="84"/>
      <c r="AD26" s="84"/>
      <c r="AE26" s="84"/>
      <c r="AF26" s="84"/>
      <c r="AG26" s="85"/>
      <c r="AH26" s="85"/>
      <c r="AI26" s="84"/>
      <c r="AJ26" s="84"/>
      <c r="AK26" s="84"/>
      <c r="AL26" s="84"/>
      <c r="AM26" s="84"/>
      <c r="AN26" s="84"/>
      <c r="AO26" s="84"/>
      <c r="AP26" s="86"/>
      <c r="AQ26" s="83"/>
      <c r="AR26" s="84">
        <f>SUM(AR3:AR25)</f>
        <v>432</v>
      </c>
    </row>
    <row r="27" spans="1:43" s="87" customFormat="1" ht="12.75">
      <c r="A27" s="83"/>
      <c r="B27" s="83"/>
      <c r="C27" s="83"/>
      <c r="D27" s="83"/>
      <c r="E27" s="83"/>
      <c r="F27" s="83"/>
      <c r="G27" s="83"/>
      <c r="H27" s="84"/>
      <c r="I27" s="84"/>
      <c r="J27" s="84"/>
      <c r="K27" s="84"/>
      <c r="L27" s="84"/>
      <c r="M27" s="84"/>
      <c r="N27" s="84"/>
      <c r="O27" s="84"/>
      <c r="P27" s="84"/>
      <c r="Q27" s="85"/>
      <c r="R27" s="84"/>
      <c r="S27" s="85"/>
      <c r="T27" s="85"/>
      <c r="U27" s="85"/>
      <c r="V27" s="84"/>
      <c r="W27" s="84"/>
      <c r="X27" s="84"/>
      <c r="Y27" s="85"/>
      <c r="Z27" s="84"/>
      <c r="AA27" s="84"/>
      <c r="AB27" s="85"/>
      <c r="AC27" s="84"/>
      <c r="AD27" s="84"/>
      <c r="AE27" s="84"/>
      <c r="AF27" s="84"/>
      <c r="AG27" s="85"/>
      <c r="AH27" s="85"/>
      <c r="AI27" s="84"/>
      <c r="AJ27" s="84"/>
      <c r="AK27" s="84"/>
      <c r="AL27" s="84"/>
      <c r="AM27" s="84"/>
      <c r="AN27" s="84"/>
      <c r="AO27" s="84"/>
      <c r="AP27" s="86"/>
      <c r="AQ27" s="83"/>
    </row>
    <row r="28" spans="1:43" s="87" customFormat="1" ht="12.75">
      <c r="A28" s="83"/>
      <c r="B28" s="83"/>
      <c r="C28" s="83"/>
      <c r="D28" s="83"/>
      <c r="E28" s="83"/>
      <c r="F28" s="83"/>
      <c r="G28" s="83"/>
      <c r="H28" s="84"/>
      <c r="I28" s="84"/>
      <c r="J28" s="84"/>
      <c r="K28" s="84"/>
      <c r="L28" s="84"/>
      <c r="M28" s="84"/>
      <c r="N28" s="84"/>
      <c r="O28" s="84"/>
      <c r="P28" s="84"/>
      <c r="Q28" s="85"/>
      <c r="R28" s="84"/>
      <c r="S28" s="85"/>
      <c r="T28" s="85"/>
      <c r="U28" s="85"/>
      <c r="V28" s="84"/>
      <c r="W28" s="84"/>
      <c r="X28" s="84"/>
      <c r="Y28" s="85"/>
      <c r="Z28" s="84"/>
      <c r="AA28" s="84"/>
      <c r="AB28" s="85"/>
      <c r="AC28" s="84"/>
      <c r="AD28" s="84"/>
      <c r="AE28" s="84"/>
      <c r="AF28" s="84"/>
      <c r="AG28" s="85"/>
      <c r="AH28" s="85"/>
      <c r="AI28" s="84"/>
      <c r="AJ28" s="84"/>
      <c r="AK28" s="84"/>
      <c r="AL28" s="84"/>
      <c r="AM28" s="84"/>
      <c r="AN28" s="84"/>
      <c r="AO28" s="84"/>
      <c r="AP28" s="86"/>
      <c r="AQ28" s="83"/>
    </row>
    <row r="29" spans="1:29" ht="18.75" thickBot="1">
      <c r="A29" s="28"/>
      <c r="B29" s="28"/>
      <c r="C29" s="28" t="s">
        <v>79</v>
      </c>
      <c r="G29" s="27"/>
      <c r="J29" s="27"/>
      <c r="AC29" s="1"/>
    </row>
    <row r="30" spans="1:43" s="36" customFormat="1" ht="106.5" customHeight="1" thickBot="1">
      <c r="A30" s="38" t="str">
        <f>A2</f>
        <v>PPF1-3 PCBs</v>
      </c>
      <c r="B30" s="38" t="str">
        <f>B2</f>
        <v>PPF1-2 PCBs</v>
      </c>
      <c r="C30" s="38" t="str">
        <f>C2</f>
        <v>Tape # (bottom of stack up)</v>
      </c>
      <c r="D30" s="39" t="str">
        <f aca="true" t="shared" si="35" ref="D30:AQ30">D2</f>
        <v>Disc</v>
      </c>
      <c r="E30" s="39" t="str">
        <f t="shared" si="35"/>
        <v>PPF1 pos'n Lx</v>
      </c>
      <c r="F30" s="39" t="s">
        <v>144</v>
      </c>
      <c r="G30" s="39" t="str">
        <f t="shared" si="35"/>
        <v>No. of tapes</v>
      </c>
      <c r="H30" s="39" t="str">
        <f t="shared" si="35"/>
        <v>Tape thickness (mm)</v>
      </c>
      <c r="I30" s="39" t="str">
        <f t="shared" si="35"/>
        <v>Packing factor</v>
      </c>
      <c r="J30" s="39" t="str">
        <f t="shared" si="35"/>
        <v>Packing factor = 1.5x</v>
      </c>
      <c r="K30" s="39" t="str">
        <f t="shared" si="35"/>
        <v>PCB Z (mm)</v>
      </c>
      <c r="L30" s="39" t="str">
        <f t="shared" si="35"/>
        <v>PCB R (mm)</v>
      </c>
      <c r="M30" s="39" t="str">
        <f t="shared" si="35"/>
        <v>B1 Z (mm)</v>
      </c>
      <c r="N30" s="39" t="str">
        <f t="shared" si="35"/>
        <v>B1 R (mm)</v>
      </c>
      <c r="O30" s="39" t="str">
        <f t="shared" si="35"/>
        <v>B1 r (min 5) (mm)</v>
      </c>
      <c r="P30" s="40" t="str">
        <f t="shared" si="35"/>
        <v>1a: Length to solder pad + excess (mm)</v>
      </c>
      <c r="Q30" s="41" t="str">
        <f t="shared" si="35"/>
        <v>1: Tape length from PCB to bend (mm)</v>
      </c>
      <c r="R30" s="39" t="str">
        <f t="shared" si="35"/>
        <v>Cylinder R (mm) </v>
      </c>
      <c r="S30" s="41" t="str">
        <f t="shared" si="35"/>
        <v>2: Tape length around B1 (90deg) (mm)</v>
      </c>
      <c r="T30" s="88" t="str">
        <f t="shared" si="35"/>
        <v>Eventual horizontal tape run R (mm)</v>
      </c>
      <c r="U30" s="41" t="str">
        <f t="shared" si="35"/>
        <v>3: Length to next bend (+ 0.45/disc - STFT) (mm)</v>
      </c>
      <c r="V30" s="39" t="str">
        <f t="shared" si="35"/>
        <v>B2 Z (mm)</v>
      </c>
      <c r="W30" s="39" t="str">
        <f t="shared" si="35"/>
        <v>B2 R (mm)</v>
      </c>
      <c r="X30" s="39" t="str">
        <f t="shared" si="35"/>
        <v>B2 r (min 12.5) (mm)</v>
      </c>
      <c r="Y30" s="41" t="str">
        <f t="shared" si="35"/>
        <v>4: Tape length around B2 (90deg) (mm)</v>
      </c>
      <c r="Z30" s="39" t="str">
        <f t="shared" si="35"/>
        <v>STFT exit R (mm)</v>
      </c>
      <c r="AA30" s="40" t="str">
        <f t="shared" si="35"/>
        <v>5: length up to STFT exit (mm)</v>
      </c>
      <c r="AB30" s="41" t="str">
        <f t="shared" si="35"/>
        <v>6: length to next bend (mm)</v>
      </c>
      <c r="AC30" s="39" t="str">
        <f t="shared" si="35"/>
        <v>B3 Z (mm)</v>
      </c>
      <c r="AD30" s="39" t="str">
        <f t="shared" si="35"/>
        <v>B3 R (mm)</v>
      </c>
      <c r="AE30" s="39" t="str">
        <f t="shared" si="35"/>
        <v>B3 r (min 12.5) (mm)</v>
      </c>
      <c r="AF30" s="39" t="str">
        <f t="shared" si="35"/>
        <v>Cable tray R (mm)</v>
      </c>
      <c r="AG30" s="41" t="str">
        <f t="shared" si="35"/>
        <v>7: length around B3 (90deg) (mm)</v>
      </c>
      <c r="AH30" s="41" t="str">
        <f t="shared" si="35"/>
        <v>8: Length to B4 (mm)</v>
      </c>
      <c r="AI30" s="39" t="str">
        <f t="shared" si="35"/>
        <v>B4 Z (mm)</v>
      </c>
      <c r="AJ30" s="39" t="str">
        <f t="shared" si="35"/>
        <v>B4 R (mm)</v>
      </c>
      <c r="AK30" s="39" t="str">
        <f t="shared" si="35"/>
        <v>B4 r (min 10) (mm)</v>
      </c>
      <c r="AL30" s="40" t="str">
        <f t="shared" si="35"/>
        <v>9: To PPF1 from CAD model (mm)</v>
      </c>
      <c r="AM30" s="39" t="str">
        <f t="shared" si="35"/>
        <v>PPF1 position</v>
      </c>
      <c r="AN30" s="40" t="str">
        <f t="shared" si="35"/>
        <v>10: Board edge - pad + excess (mm)</v>
      </c>
      <c r="AO30" s="40" t="str">
        <f t="shared" si="35"/>
        <v>11: Phi shift compensation (P0e1:3 ) (mm)</v>
      </c>
      <c r="AP30" s="39" t="str">
        <f t="shared" si="35"/>
        <v>Total length (mm)</v>
      </c>
      <c r="AQ30" s="42" t="str">
        <f t="shared" si="35"/>
        <v>Tape  Type</v>
      </c>
    </row>
    <row r="31" spans="1:44" s="14" customFormat="1" ht="12.75">
      <c r="A31" s="43"/>
      <c r="B31" s="43">
        <v>3</v>
      </c>
      <c r="C31" s="43">
        <v>23</v>
      </c>
      <c r="D31" s="44">
        <v>1</v>
      </c>
      <c r="E31" s="44">
        <v>1</v>
      </c>
      <c r="F31" s="45" t="s">
        <v>168</v>
      </c>
      <c r="G31" s="45">
        <v>3</v>
      </c>
      <c r="H31" s="81">
        <f>H3</f>
        <v>0.35</v>
      </c>
      <c r="I31" s="81">
        <f>I3</f>
        <v>2</v>
      </c>
      <c r="J31" s="81">
        <f>H31*I31</f>
        <v>0.7</v>
      </c>
      <c r="K31" s="81">
        <f>K3</f>
        <v>876.925</v>
      </c>
      <c r="L31" s="81">
        <f>L3</f>
        <v>577.25</v>
      </c>
      <c r="M31" s="47">
        <f>K31+O31</f>
        <v>882.0999999999999</v>
      </c>
      <c r="N31" s="48">
        <f>R31-O31</f>
        <v>577.325</v>
      </c>
      <c r="O31" s="48">
        <f>O3</f>
        <v>5.175</v>
      </c>
      <c r="P31" s="81">
        <f>P3</f>
        <v>18.6</v>
      </c>
      <c r="Q31" s="48">
        <f>N31-L31</f>
        <v>0.07500000000004547</v>
      </c>
      <c r="R31" s="81">
        <f>R3</f>
        <v>582.5</v>
      </c>
      <c r="S31" s="82">
        <f>(O31*2)*PI()*(90/360)</f>
        <v>8.12887099116359</v>
      </c>
      <c r="T31" s="82">
        <f aca="true" t="shared" si="36" ref="T31:T53">R31+((C31*J31)-(J31/2))</f>
        <v>598.25</v>
      </c>
      <c r="U31" s="48">
        <f>SQRT((POWER((V31-(K31+O31)),2))+(POWER(T31-(R31+(E31*J31)-(J31/2)),2)))+((9-D31)*0.45)</f>
        <v>1854.6640615602691</v>
      </c>
      <c r="V31" s="81">
        <f>V3</f>
        <v>2733.1</v>
      </c>
      <c r="W31" s="81">
        <f>W3</f>
        <v>611</v>
      </c>
      <c r="X31" s="48">
        <f>12.5+((23-C31)*J31)+(J31/2)</f>
        <v>12.85</v>
      </c>
      <c r="Y31" s="82">
        <f>(X31*2)*PI()*(90/360)</f>
        <v>20.18473279931442</v>
      </c>
      <c r="Z31" s="81">
        <f>Z3</f>
        <v>750</v>
      </c>
      <c r="AA31" s="81">
        <f>Z31-W31</f>
        <v>139</v>
      </c>
      <c r="AB31" s="82">
        <f aca="true" t="shared" si="37" ref="AB31:AB52">SQRT((POWER((AD31-Z31),2))+(POWER(((AC31-AE31)-(V31+X31)),2)))</f>
        <v>320.6676940385484</v>
      </c>
      <c r="AC31" s="81">
        <f>AC3</f>
        <v>2787.3</v>
      </c>
      <c r="AD31" s="81">
        <f>AD3</f>
        <v>1070.4</v>
      </c>
      <c r="AE31" s="81">
        <f>12.5+(C31*J31)-(J31/2)</f>
        <v>28.249999999999996</v>
      </c>
      <c r="AF31" s="81">
        <f>AF3</f>
        <v>1076</v>
      </c>
      <c r="AG31" s="82">
        <f>(AE31*2)*PI()*(90/360)</f>
        <v>44.37499623195582</v>
      </c>
      <c r="AH31" s="82">
        <f>SQRT((POWER((AI31-AC31),2))+(POWER(((AJ31-AK31)-(AD31+AE31)),2)))</f>
        <v>405.69116332501</v>
      </c>
      <c r="AI31" s="81">
        <f>AI3</f>
        <v>3192.9</v>
      </c>
      <c r="AJ31" s="81">
        <f>AJ3</f>
        <v>1100.4</v>
      </c>
      <c r="AK31" s="48">
        <f>10+((23-C31)*J31)+(J31/2)</f>
        <v>10.35</v>
      </c>
      <c r="AL31" s="296">
        <v>93.2046</v>
      </c>
      <c r="AM31" s="47">
        <v>1</v>
      </c>
      <c r="AN31" s="81">
        <f>AN3</f>
        <v>66</v>
      </c>
      <c r="AO31" s="81">
        <v>0.51</v>
      </c>
      <c r="AP31" s="49">
        <f>P31+Q31+S31+U31+Y31+AA31+AB31+AG31+AH31+AL31+AN31+AO31</f>
        <v>2971.1011189462615</v>
      </c>
      <c r="AQ31" s="97">
        <v>24</v>
      </c>
      <c r="AR31" s="14">
        <f>G31*4*2</f>
        <v>24</v>
      </c>
    </row>
    <row r="32" spans="1:44" s="14" customFormat="1" ht="12.75">
      <c r="A32" s="62"/>
      <c r="B32" s="62"/>
      <c r="C32" s="62">
        <v>22</v>
      </c>
      <c r="D32" s="63">
        <v>1</v>
      </c>
      <c r="E32" s="63">
        <v>2</v>
      </c>
      <c r="F32" s="64" t="s">
        <v>169</v>
      </c>
      <c r="G32" s="64">
        <v>3</v>
      </c>
      <c r="H32" s="65">
        <f>H31</f>
        <v>0.35</v>
      </c>
      <c r="I32" s="65">
        <f>I31</f>
        <v>2</v>
      </c>
      <c r="J32" s="65">
        <f>H32*I32</f>
        <v>0.7</v>
      </c>
      <c r="K32" s="65">
        <f aca="true" t="shared" si="38" ref="K32:K53">K4</f>
        <v>889.175</v>
      </c>
      <c r="L32" s="65">
        <f>L31</f>
        <v>577.25</v>
      </c>
      <c r="M32" s="65">
        <f aca="true" t="shared" si="39" ref="M32:M53">K32+O32</f>
        <v>894.3499999999999</v>
      </c>
      <c r="N32" s="66">
        <f aca="true" t="shared" si="40" ref="N32:N53">R32-O32</f>
        <v>577.325</v>
      </c>
      <c r="O32" s="66">
        <f>O31</f>
        <v>5.175</v>
      </c>
      <c r="P32" s="65">
        <f>P31</f>
        <v>18.6</v>
      </c>
      <c r="Q32" s="66">
        <f aca="true" t="shared" si="41" ref="Q32:Q53">N32-L32</f>
        <v>0.07500000000004547</v>
      </c>
      <c r="R32" s="65">
        <f>R31</f>
        <v>582.5</v>
      </c>
      <c r="S32" s="66">
        <f aca="true" t="shared" si="42" ref="S32:S53">(O32*2)*PI()*(90/360)</f>
        <v>8.12887099116359</v>
      </c>
      <c r="T32" s="66">
        <f t="shared" si="36"/>
        <v>597.55</v>
      </c>
      <c r="U32" s="66">
        <f aca="true" t="shared" si="43" ref="U32:U53">SQRT((POWER((V32-(K32+O32)),2))+(POWER(T32-(R32+(E32*J32)-(J32/2)),2)))+((9-D32)*0.45)</f>
        <v>1842.4032963044197</v>
      </c>
      <c r="V32" s="65">
        <f>V31</f>
        <v>2733.1</v>
      </c>
      <c r="W32" s="65">
        <f aca="true" t="shared" si="44" ref="W32:W53">W31</f>
        <v>611</v>
      </c>
      <c r="X32" s="66">
        <f aca="true" t="shared" si="45" ref="X32:X53">12.5+((23-C32)*J32)+(J32/2)</f>
        <v>13.549999999999999</v>
      </c>
      <c r="Y32" s="66">
        <f aca="true" t="shared" si="46" ref="Y32:Y53">(X32*2)*PI()*(90/360)</f>
        <v>21.284290228070848</v>
      </c>
      <c r="Z32" s="65">
        <f>Z31</f>
        <v>750</v>
      </c>
      <c r="AA32" s="65">
        <f aca="true" t="shared" si="47" ref="AA32:AA53">Z32-W32</f>
        <v>139</v>
      </c>
      <c r="AB32" s="66">
        <f t="shared" si="37"/>
        <v>320.66769403854835</v>
      </c>
      <c r="AC32" s="65">
        <f>AC31</f>
        <v>2787.3</v>
      </c>
      <c r="AD32" s="65">
        <f>AD31</f>
        <v>1070.4</v>
      </c>
      <c r="AE32" s="65">
        <f aca="true" t="shared" si="48" ref="AE32:AE53">12.5+(C32*J32)-(J32/2)</f>
        <v>27.549999999999997</v>
      </c>
      <c r="AF32" s="65">
        <f>AF31</f>
        <v>1076</v>
      </c>
      <c r="AG32" s="66">
        <f aca="true" t="shared" si="49" ref="AG32:AG53">(AE32*2)*PI()*(90/360)</f>
        <v>43.27543880319939</v>
      </c>
      <c r="AH32" s="66">
        <f aca="true" t="shared" si="50" ref="AH32:AH53">SQRT((POWER((AI32-AC32),2))+(POWER(((AJ32-AK32)-(AD32+AE32)),2)))</f>
        <v>405.69116332501</v>
      </c>
      <c r="AI32" s="65">
        <f aca="true" t="shared" si="51" ref="AI32:AI53">AI31</f>
        <v>3192.9</v>
      </c>
      <c r="AJ32" s="65">
        <f aca="true" t="shared" si="52" ref="AJ32:AJ53">AJ31</f>
        <v>1100.4</v>
      </c>
      <c r="AK32" s="66">
        <f aca="true" t="shared" si="53" ref="AK32:AK53">10+((23-C32)*J32)+(J32/2)</f>
        <v>11.049999999999999</v>
      </c>
      <c r="AL32" s="298">
        <v>93.6718</v>
      </c>
      <c r="AM32" s="65">
        <v>2</v>
      </c>
      <c r="AN32" s="91">
        <f>AN4</f>
        <v>22</v>
      </c>
      <c r="AO32" s="65">
        <f>AO31</f>
        <v>0.51</v>
      </c>
      <c r="AP32" s="68">
        <f aca="true" t="shared" si="54" ref="AP32:AP53">P32+Q32+S32+U32+Y32+AA32+AB32+AG32+AH32+AL32+AN32+AO32</f>
        <v>2915.3075536904125</v>
      </c>
      <c r="AQ32" s="98">
        <v>25</v>
      </c>
      <c r="AR32" s="14">
        <f aca="true" t="shared" si="55" ref="AR32:AR53">G32*4*2</f>
        <v>24</v>
      </c>
    </row>
    <row r="33" spans="1:44" s="14" customFormat="1" ht="12.75">
      <c r="A33" s="69">
        <v>3</v>
      </c>
      <c r="B33" s="69"/>
      <c r="C33" s="69">
        <v>21</v>
      </c>
      <c r="D33" s="70">
        <v>2</v>
      </c>
      <c r="E33" s="70">
        <v>1</v>
      </c>
      <c r="F33" s="71" t="s">
        <v>170</v>
      </c>
      <c r="G33" s="71">
        <v>3</v>
      </c>
      <c r="H33" s="72">
        <f aca="true" t="shared" si="56" ref="H33:H53">H32</f>
        <v>0.35</v>
      </c>
      <c r="I33" s="72">
        <f aca="true" t="shared" si="57" ref="I33:I53">I32</f>
        <v>2</v>
      </c>
      <c r="J33" s="72">
        <f aca="true" t="shared" si="58" ref="J33:J53">H33*I33</f>
        <v>0.7</v>
      </c>
      <c r="K33" s="72">
        <f t="shared" si="38"/>
        <v>957.125</v>
      </c>
      <c r="L33" s="72">
        <f aca="true" t="shared" si="59" ref="L33:L53">L32</f>
        <v>577.25</v>
      </c>
      <c r="M33" s="72">
        <f t="shared" si="39"/>
        <v>962.3</v>
      </c>
      <c r="N33" s="73">
        <f t="shared" si="40"/>
        <v>577.325</v>
      </c>
      <c r="O33" s="73">
        <f aca="true" t="shared" si="60" ref="O33:O53">O32</f>
        <v>5.175</v>
      </c>
      <c r="P33" s="72">
        <f aca="true" t="shared" si="61" ref="P33:P53">P32</f>
        <v>18.6</v>
      </c>
      <c r="Q33" s="73">
        <f t="shared" si="41"/>
        <v>0.07500000000004547</v>
      </c>
      <c r="R33" s="72">
        <f aca="true" t="shared" si="62" ref="R33:R53">R32</f>
        <v>582.5</v>
      </c>
      <c r="S33" s="73">
        <f t="shared" si="42"/>
        <v>8.12887099116359</v>
      </c>
      <c r="T33" s="73">
        <f t="shared" si="36"/>
        <v>596.85</v>
      </c>
      <c r="U33" s="73">
        <f t="shared" si="43"/>
        <v>1774.0053413534376</v>
      </c>
      <c r="V33" s="72">
        <f aca="true" t="shared" si="63" ref="V33:V53">V32</f>
        <v>2733.1</v>
      </c>
      <c r="W33" s="72">
        <f t="shared" si="44"/>
        <v>611</v>
      </c>
      <c r="X33" s="73">
        <f t="shared" si="45"/>
        <v>14.25</v>
      </c>
      <c r="Y33" s="73">
        <f t="shared" si="46"/>
        <v>22.383847656827275</v>
      </c>
      <c r="Z33" s="72">
        <f aca="true" t="shared" si="64" ref="Z33:Z53">Z32</f>
        <v>750</v>
      </c>
      <c r="AA33" s="72">
        <f t="shared" si="47"/>
        <v>139</v>
      </c>
      <c r="AB33" s="73">
        <f t="shared" si="37"/>
        <v>320.6676940385484</v>
      </c>
      <c r="AC33" s="72">
        <f aca="true" t="shared" si="65" ref="AC33:AC53">AC32</f>
        <v>2787.3</v>
      </c>
      <c r="AD33" s="72">
        <f aca="true" t="shared" si="66" ref="AD33:AD53">AD32</f>
        <v>1070.4</v>
      </c>
      <c r="AE33" s="72">
        <f t="shared" si="48"/>
        <v>26.849999999999998</v>
      </c>
      <c r="AF33" s="72">
        <f aca="true" t="shared" si="67" ref="AF33:AF53">AF32</f>
        <v>1076</v>
      </c>
      <c r="AG33" s="73">
        <f t="shared" si="49"/>
        <v>42.175881374442966</v>
      </c>
      <c r="AH33" s="73">
        <f t="shared" si="50"/>
        <v>405.69116332501</v>
      </c>
      <c r="AI33" s="72">
        <f t="shared" si="51"/>
        <v>3192.9</v>
      </c>
      <c r="AJ33" s="72">
        <f t="shared" si="52"/>
        <v>1100.4</v>
      </c>
      <c r="AK33" s="73">
        <f t="shared" si="53"/>
        <v>11.75</v>
      </c>
      <c r="AL33" s="299">
        <v>94.644</v>
      </c>
      <c r="AM33" s="72">
        <v>1</v>
      </c>
      <c r="AN33" s="92">
        <f>AN5</f>
        <v>110</v>
      </c>
      <c r="AO33" s="72">
        <f aca="true" t="shared" si="68" ref="AO33:AO53">AO32</f>
        <v>0.51</v>
      </c>
      <c r="AP33" s="75">
        <f t="shared" si="54"/>
        <v>2935.8817987394305</v>
      </c>
      <c r="AQ33" s="99">
        <v>26</v>
      </c>
      <c r="AR33" s="14">
        <f t="shared" si="55"/>
        <v>24</v>
      </c>
    </row>
    <row r="34" spans="1:44" s="14" customFormat="1" ht="12.75">
      <c r="A34" s="50"/>
      <c r="B34" s="50"/>
      <c r="C34" s="50">
        <v>20</v>
      </c>
      <c r="D34" s="51">
        <v>2</v>
      </c>
      <c r="E34" s="51">
        <v>2</v>
      </c>
      <c r="F34" s="52" t="s">
        <v>169</v>
      </c>
      <c r="G34" s="52">
        <v>3</v>
      </c>
      <c r="H34" s="53">
        <f t="shared" si="56"/>
        <v>0.35</v>
      </c>
      <c r="I34" s="53">
        <f t="shared" si="57"/>
        <v>2</v>
      </c>
      <c r="J34" s="53">
        <f t="shared" si="58"/>
        <v>0.7</v>
      </c>
      <c r="K34" s="53">
        <f t="shared" si="38"/>
        <v>969.375</v>
      </c>
      <c r="L34" s="53">
        <f t="shared" si="59"/>
        <v>577.25</v>
      </c>
      <c r="M34" s="53">
        <f t="shared" si="39"/>
        <v>974.55</v>
      </c>
      <c r="N34" s="54">
        <f t="shared" si="40"/>
        <v>577.325</v>
      </c>
      <c r="O34" s="54">
        <f t="shared" si="60"/>
        <v>5.175</v>
      </c>
      <c r="P34" s="53">
        <f t="shared" si="61"/>
        <v>18.6</v>
      </c>
      <c r="Q34" s="54">
        <f t="shared" si="41"/>
        <v>0.07500000000004547</v>
      </c>
      <c r="R34" s="53">
        <f t="shared" si="62"/>
        <v>582.5</v>
      </c>
      <c r="S34" s="54">
        <f t="shared" si="42"/>
        <v>8.12887099116359</v>
      </c>
      <c r="T34" s="54">
        <f t="shared" si="36"/>
        <v>596.15</v>
      </c>
      <c r="U34" s="54">
        <f t="shared" si="43"/>
        <v>1761.7451388821703</v>
      </c>
      <c r="V34" s="53">
        <f t="shared" si="63"/>
        <v>2733.1</v>
      </c>
      <c r="W34" s="53">
        <f t="shared" si="44"/>
        <v>611</v>
      </c>
      <c r="X34" s="54">
        <f t="shared" si="45"/>
        <v>14.95</v>
      </c>
      <c r="Y34" s="54">
        <f t="shared" si="46"/>
        <v>23.4834050855837</v>
      </c>
      <c r="Z34" s="53">
        <f t="shared" si="64"/>
        <v>750</v>
      </c>
      <c r="AA34" s="53">
        <f t="shared" si="47"/>
        <v>139</v>
      </c>
      <c r="AB34" s="54">
        <f t="shared" si="37"/>
        <v>320.6676940385484</v>
      </c>
      <c r="AC34" s="53">
        <f t="shared" si="65"/>
        <v>2787.3</v>
      </c>
      <c r="AD34" s="53">
        <f t="shared" si="66"/>
        <v>1070.4</v>
      </c>
      <c r="AE34" s="53">
        <f t="shared" si="48"/>
        <v>26.15</v>
      </c>
      <c r="AF34" s="53">
        <f t="shared" si="67"/>
        <v>1076</v>
      </c>
      <c r="AG34" s="54">
        <f t="shared" si="49"/>
        <v>41.07632394568654</v>
      </c>
      <c r="AH34" s="54">
        <f t="shared" si="50"/>
        <v>405.69116332501</v>
      </c>
      <c r="AI34" s="53">
        <f t="shared" si="51"/>
        <v>3192.9</v>
      </c>
      <c r="AJ34" s="53">
        <f t="shared" si="52"/>
        <v>1100.4</v>
      </c>
      <c r="AK34" s="54">
        <f t="shared" si="53"/>
        <v>12.45</v>
      </c>
      <c r="AL34" s="300">
        <v>95.0639</v>
      </c>
      <c r="AM34" s="53">
        <v>2</v>
      </c>
      <c r="AN34" s="92">
        <f aca="true" t="shared" si="69" ref="AN34:AN53">AN6</f>
        <v>66</v>
      </c>
      <c r="AO34" s="53">
        <f t="shared" si="68"/>
        <v>0.51</v>
      </c>
      <c r="AP34" s="55">
        <f t="shared" si="54"/>
        <v>2880.041496268163</v>
      </c>
      <c r="AQ34" s="100">
        <v>27</v>
      </c>
      <c r="AR34" s="14">
        <f t="shared" si="55"/>
        <v>24</v>
      </c>
    </row>
    <row r="35" spans="1:44" s="14" customFormat="1" ht="12.75">
      <c r="A35" s="50"/>
      <c r="B35" s="50"/>
      <c r="C35" s="50">
        <v>19</v>
      </c>
      <c r="D35" s="51">
        <v>2</v>
      </c>
      <c r="E35" s="51">
        <v>3</v>
      </c>
      <c r="F35" s="52" t="s">
        <v>171</v>
      </c>
      <c r="G35" s="52">
        <v>3</v>
      </c>
      <c r="H35" s="53">
        <f t="shared" si="56"/>
        <v>0.35</v>
      </c>
      <c r="I35" s="53">
        <f t="shared" si="57"/>
        <v>2</v>
      </c>
      <c r="J35" s="53">
        <f t="shared" si="58"/>
        <v>0.7</v>
      </c>
      <c r="K35" s="53">
        <f t="shared" si="38"/>
        <v>981.625</v>
      </c>
      <c r="L35" s="53">
        <f t="shared" si="59"/>
        <v>577.25</v>
      </c>
      <c r="M35" s="53">
        <f t="shared" si="39"/>
        <v>986.8</v>
      </c>
      <c r="N35" s="54">
        <f t="shared" si="40"/>
        <v>577.325</v>
      </c>
      <c r="O35" s="54">
        <f t="shared" si="60"/>
        <v>5.175</v>
      </c>
      <c r="P35" s="53">
        <f t="shared" si="61"/>
        <v>18.6</v>
      </c>
      <c r="Q35" s="54">
        <f t="shared" si="41"/>
        <v>0.07500000000004547</v>
      </c>
      <c r="R35" s="53">
        <f t="shared" si="62"/>
        <v>582.5</v>
      </c>
      <c r="S35" s="54">
        <f t="shared" si="42"/>
        <v>8.12887099116359</v>
      </c>
      <c r="T35" s="54">
        <f t="shared" si="36"/>
        <v>595.45</v>
      </c>
      <c r="U35" s="54">
        <f t="shared" si="43"/>
        <v>1749.48591556722</v>
      </c>
      <c r="V35" s="53">
        <f t="shared" si="63"/>
        <v>2733.1</v>
      </c>
      <c r="W35" s="53">
        <f t="shared" si="44"/>
        <v>611</v>
      </c>
      <c r="X35" s="54">
        <f t="shared" si="45"/>
        <v>15.65</v>
      </c>
      <c r="Y35" s="54">
        <f t="shared" si="46"/>
        <v>24.58296251434013</v>
      </c>
      <c r="Z35" s="53">
        <f t="shared" si="64"/>
        <v>750</v>
      </c>
      <c r="AA35" s="53">
        <f t="shared" si="47"/>
        <v>139</v>
      </c>
      <c r="AB35" s="54">
        <f t="shared" si="37"/>
        <v>320.6676940385484</v>
      </c>
      <c r="AC35" s="53">
        <f t="shared" si="65"/>
        <v>2787.3</v>
      </c>
      <c r="AD35" s="53">
        <f t="shared" si="66"/>
        <v>1070.4</v>
      </c>
      <c r="AE35" s="53">
        <f t="shared" si="48"/>
        <v>25.449999999999996</v>
      </c>
      <c r="AF35" s="53">
        <f t="shared" si="67"/>
        <v>1076</v>
      </c>
      <c r="AG35" s="54">
        <f t="shared" si="49"/>
        <v>39.97676651693011</v>
      </c>
      <c r="AH35" s="54">
        <f t="shared" si="50"/>
        <v>405.69116332501</v>
      </c>
      <c r="AI35" s="53">
        <f t="shared" si="51"/>
        <v>3192.9</v>
      </c>
      <c r="AJ35" s="53">
        <f t="shared" si="52"/>
        <v>1100.4</v>
      </c>
      <c r="AK35" s="54">
        <f t="shared" si="53"/>
        <v>13.15</v>
      </c>
      <c r="AL35" s="300">
        <v>95.4845</v>
      </c>
      <c r="AM35" s="53">
        <v>3</v>
      </c>
      <c r="AN35" s="92">
        <f t="shared" si="69"/>
        <v>22</v>
      </c>
      <c r="AO35" s="53">
        <f t="shared" si="68"/>
        <v>0.51</v>
      </c>
      <c r="AP35" s="55">
        <f t="shared" si="54"/>
        <v>2824.2028729532126</v>
      </c>
      <c r="AQ35" s="100">
        <v>28</v>
      </c>
      <c r="AR35" s="14">
        <f t="shared" si="55"/>
        <v>24</v>
      </c>
    </row>
    <row r="36" spans="1:44" s="14" customFormat="1" ht="12.75">
      <c r="A36" s="69">
        <v>3</v>
      </c>
      <c r="B36" s="69"/>
      <c r="C36" s="69">
        <v>18</v>
      </c>
      <c r="D36" s="70">
        <v>3</v>
      </c>
      <c r="E36" s="70">
        <v>1</v>
      </c>
      <c r="F36" s="71" t="s">
        <v>170</v>
      </c>
      <c r="G36" s="71">
        <v>3</v>
      </c>
      <c r="H36" s="72">
        <f t="shared" si="56"/>
        <v>0.35</v>
      </c>
      <c r="I36" s="72">
        <f t="shared" si="57"/>
        <v>2</v>
      </c>
      <c r="J36" s="72">
        <f t="shared" si="58"/>
        <v>0.7</v>
      </c>
      <c r="K36" s="72">
        <f t="shared" si="38"/>
        <v>1114.625</v>
      </c>
      <c r="L36" s="72">
        <f t="shared" si="59"/>
        <v>577.25</v>
      </c>
      <c r="M36" s="72">
        <f t="shared" si="39"/>
        <v>1119.8</v>
      </c>
      <c r="N36" s="73">
        <f t="shared" si="40"/>
        <v>577.325</v>
      </c>
      <c r="O36" s="73">
        <f t="shared" si="60"/>
        <v>5.175</v>
      </c>
      <c r="P36" s="72">
        <f t="shared" si="61"/>
        <v>18.6</v>
      </c>
      <c r="Q36" s="73">
        <f t="shared" si="41"/>
        <v>0.07500000000004547</v>
      </c>
      <c r="R36" s="72">
        <f t="shared" si="62"/>
        <v>582.5</v>
      </c>
      <c r="S36" s="73">
        <f t="shared" si="42"/>
        <v>8.12887099116359</v>
      </c>
      <c r="T36" s="73">
        <f t="shared" si="36"/>
        <v>594.75</v>
      </c>
      <c r="U36" s="73">
        <f t="shared" si="43"/>
        <v>1616.0438877065235</v>
      </c>
      <c r="V36" s="72">
        <f t="shared" si="63"/>
        <v>2733.1</v>
      </c>
      <c r="W36" s="72">
        <f t="shared" si="44"/>
        <v>611</v>
      </c>
      <c r="X36" s="73">
        <f t="shared" si="45"/>
        <v>16.35</v>
      </c>
      <c r="Y36" s="73">
        <f t="shared" si="46"/>
        <v>25.682519943096562</v>
      </c>
      <c r="Z36" s="72">
        <f t="shared" si="64"/>
        <v>750</v>
      </c>
      <c r="AA36" s="72">
        <f t="shared" si="47"/>
        <v>139</v>
      </c>
      <c r="AB36" s="73">
        <f t="shared" si="37"/>
        <v>320.6676940385484</v>
      </c>
      <c r="AC36" s="72">
        <f t="shared" si="65"/>
        <v>2787.3</v>
      </c>
      <c r="AD36" s="72">
        <f t="shared" si="66"/>
        <v>1070.4</v>
      </c>
      <c r="AE36" s="72">
        <f t="shared" si="48"/>
        <v>24.75</v>
      </c>
      <c r="AF36" s="72">
        <f t="shared" si="67"/>
        <v>1076</v>
      </c>
      <c r="AG36" s="73">
        <f t="shared" si="49"/>
        <v>38.87720908817369</v>
      </c>
      <c r="AH36" s="73">
        <f t="shared" si="50"/>
        <v>405.69116332501</v>
      </c>
      <c r="AI36" s="72">
        <f t="shared" si="51"/>
        <v>3192.9</v>
      </c>
      <c r="AJ36" s="72">
        <f t="shared" si="52"/>
        <v>1100.4</v>
      </c>
      <c r="AK36" s="73">
        <f t="shared" si="53"/>
        <v>13.85</v>
      </c>
      <c r="AL36" s="299">
        <v>99.9531</v>
      </c>
      <c r="AM36" s="72">
        <v>1</v>
      </c>
      <c r="AN36" s="92">
        <f t="shared" si="69"/>
        <v>110</v>
      </c>
      <c r="AO36" s="72">
        <f t="shared" si="68"/>
        <v>0.51</v>
      </c>
      <c r="AP36" s="75">
        <f t="shared" si="54"/>
        <v>2783.2294450925165</v>
      </c>
      <c r="AQ36" s="99">
        <v>29</v>
      </c>
      <c r="AR36" s="14">
        <f t="shared" si="55"/>
        <v>24</v>
      </c>
    </row>
    <row r="37" spans="1:44" s="14" customFormat="1" ht="12.75">
      <c r="A37" s="50"/>
      <c r="B37" s="50"/>
      <c r="C37" s="50">
        <v>17</v>
      </c>
      <c r="D37" s="51">
        <v>3</v>
      </c>
      <c r="E37" s="51">
        <v>2</v>
      </c>
      <c r="F37" s="52" t="s">
        <v>169</v>
      </c>
      <c r="G37" s="52">
        <v>3</v>
      </c>
      <c r="H37" s="53">
        <f t="shared" si="56"/>
        <v>0.35</v>
      </c>
      <c r="I37" s="53">
        <f t="shared" si="57"/>
        <v>2</v>
      </c>
      <c r="J37" s="53">
        <f t="shared" si="58"/>
        <v>0.7</v>
      </c>
      <c r="K37" s="53">
        <f t="shared" si="38"/>
        <v>1126.875</v>
      </c>
      <c r="L37" s="53">
        <f t="shared" si="59"/>
        <v>577.25</v>
      </c>
      <c r="M37" s="53">
        <f t="shared" si="39"/>
        <v>1132.05</v>
      </c>
      <c r="N37" s="54">
        <f t="shared" si="40"/>
        <v>577.325</v>
      </c>
      <c r="O37" s="54">
        <f t="shared" si="60"/>
        <v>5.175</v>
      </c>
      <c r="P37" s="53">
        <f t="shared" si="61"/>
        <v>18.6</v>
      </c>
      <c r="Q37" s="54">
        <f t="shared" si="41"/>
        <v>0.07500000000004547</v>
      </c>
      <c r="R37" s="53">
        <f t="shared" si="62"/>
        <v>582.5</v>
      </c>
      <c r="S37" s="54">
        <f t="shared" si="42"/>
        <v>8.12887099116359</v>
      </c>
      <c r="T37" s="54">
        <f t="shared" si="36"/>
        <v>594.05</v>
      </c>
      <c r="U37" s="54">
        <f t="shared" si="43"/>
        <v>1603.784430159759</v>
      </c>
      <c r="V37" s="53">
        <f t="shared" si="63"/>
        <v>2733.1</v>
      </c>
      <c r="W37" s="53">
        <f t="shared" si="44"/>
        <v>611</v>
      </c>
      <c r="X37" s="54">
        <f t="shared" si="45"/>
        <v>17.05</v>
      </c>
      <c r="Y37" s="54">
        <f t="shared" si="46"/>
        <v>26.78207737185299</v>
      </c>
      <c r="Z37" s="53">
        <f t="shared" si="64"/>
        <v>750</v>
      </c>
      <c r="AA37" s="53">
        <f t="shared" si="47"/>
        <v>139</v>
      </c>
      <c r="AB37" s="54">
        <f t="shared" si="37"/>
        <v>320.66769403854835</v>
      </c>
      <c r="AC37" s="53">
        <f t="shared" si="65"/>
        <v>2787.3</v>
      </c>
      <c r="AD37" s="53">
        <f t="shared" si="66"/>
        <v>1070.4</v>
      </c>
      <c r="AE37" s="53">
        <f t="shared" si="48"/>
        <v>24.049999999999997</v>
      </c>
      <c r="AF37" s="53">
        <f t="shared" si="67"/>
        <v>1076</v>
      </c>
      <c r="AG37" s="54">
        <f t="shared" si="49"/>
        <v>37.77765165941726</v>
      </c>
      <c r="AH37" s="54">
        <f t="shared" si="50"/>
        <v>405.69116332501</v>
      </c>
      <c r="AI37" s="53">
        <f t="shared" si="51"/>
        <v>3192.9</v>
      </c>
      <c r="AJ37" s="53">
        <f t="shared" si="52"/>
        <v>1100.4</v>
      </c>
      <c r="AK37" s="54">
        <f t="shared" si="53"/>
        <v>14.549999999999999</v>
      </c>
      <c r="AL37" s="300">
        <v>100.3281</v>
      </c>
      <c r="AM37" s="53">
        <v>2</v>
      </c>
      <c r="AN37" s="92">
        <f t="shared" si="69"/>
        <v>66</v>
      </c>
      <c r="AO37" s="53">
        <f t="shared" si="68"/>
        <v>0.51</v>
      </c>
      <c r="AP37" s="55">
        <f t="shared" si="54"/>
        <v>2727.344987545752</v>
      </c>
      <c r="AQ37" s="100">
        <v>30</v>
      </c>
      <c r="AR37" s="14">
        <f t="shared" si="55"/>
        <v>24</v>
      </c>
    </row>
    <row r="38" spans="1:44" s="14" customFormat="1" ht="12.75">
      <c r="A38" s="50"/>
      <c r="B38" s="50"/>
      <c r="C38" s="50">
        <v>16</v>
      </c>
      <c r="D38" s="51">
        <v>3</v>
      </c>
      <c r="E38" s="51">
        <v>3</v>
      </c>
      <c r="F38" s="52" t="s">
        <v>171</v>
      </c>
      <c r="G38" s="52">
        <v>3</v>
      </c>
      <c r="H38" s="53">
        <f t="shared" si="56"/>
        <v>0.35</v>
      </c>
      <c r="I38" s="53">
        <f t="shared" si="57"/>
        <v>2</v>
      </c>
      <c r="J38" s="53">
        <f t="shared" si="58"/>
        <v>0.7</v>
      </c>
      <c r="K38" s="53">
        <f t="shared" si="38"/>
        <v>1139.125</v>
      </c>
      <c r="L38" s="53">
        <f t="shared" si="59"/>
        <v>577.25</v>
      </c>
      <c r="M38" s="53">
        <f t="shared" si="39"/>
        <v>1144.3</v>
      </c>
      <c r="N38" s="54">
        <f t="shared" si="40"/>
        <v>577.325</v>
      </c>
      <c r="O38" s="54">
        <f t="shared" si="60"/>
        <v>5.175</v>
      </c>
      <c r="P38" s="53">
        <f t="shared" si="61"/>
        <v>18.6</v>
      </c>
      <c r="Q38" s="54">
        <f t="shared" si="41"/>
        <v>0.07500000000004547</v>
      </c>
      <c r="R38" s="53">
        <f t="shared" si="62"/>
        <v>582.5</v>
      </c>
      <c r="S38" s="54">
        <f t="shared" si="42"/>
        <v>8.12887099116359</v>
      </c>
      <c r="T38" s="54">
        <f t="shared" si="36"/>
        <v>593.35</v>
      </c>
      <c r="U38" s="54">
        <f t="shared" si="43"/>
        <v>1591.5260603351142</v>
      </c>
      <c r="V38" s="53">
        <f t="shared" si="63"/>
        <v>2733.1</v>
      </c>
      <c r="W38" s="53">
        <f t="shared" si="44"/>
        <v>611</v>
      </c>
      <c r="X38" s="54">
        <f t="shared" si="45"/>
        <v>17.75</v>
      </c>
      <c r="Y38" s="54">
        <f t="shared" si="46"/>
        <v>27.881634800609415</v>
      </c>
      <c r="Z38" s="53">
        <f t="shared" si="64"/>
        <v>750</v>
      </c>
      <c r="AA38" s="53">
        <f t="shared" si="47"/>
        <v>139</v>
      </c>
      <c r="AB38" s="54">
        <f t="shared" si="37"/>
        <v>320.6676940385484</v>
      </c>
      <c r="AC38" s="53">
        <f t="shared" si="65"/>
        <v>2787.3</v>
      </c>
      <c r="AD38" s="53">
        <f t="shared" si="66"/>
        <v>1070.4</v>
      </c>
      <c r="AE38" s="53">
        <f t="shared" si="48"/>
        <v>23.349999999999998</v>
      </c>
      <c r="AF38" s="53">
        <f t="shared" si="67"/>
        <v>1076</v>
      </c>
      <c r="AG38" s="54">
        <f t="shared" si="49"/>
        <v>36.67809423066083</v>
      </c>
      <c r="AH38" s="54">
        <f t="shared" si="50"/>
        <v>405.69116332501</v>
      </c>
      <c r="AI38" s="53">
        <f t="shared" si="51"/>
        <v>3192.9</v>
      </c>
      <c r="AJ38" s="53">
        <f t="shared" si="52"/>
        <v>1100.4</v>
      </c>
      <c r="AK38" s="54">
        <f t="shared" si="53"/>
        <v>15.249999999999998</v>
      </c>
      <c r="AL38" s="300">
        <v>100.7023</v>
      </c>
      <c r="AM38" s="53">
        <v>3</v>
      </c>
      <c r="AN38" s="92">
        <f t="shared" si="69"/>
        <v>22</v>
      </c>
      <c r="AO38" s="53">
        <f t="shared" si="68"/>
        <v>0.51</v>
      </c>
      <c r="AP38" s="55">
        <f t="shared" si="54"/>
        <v>2671.4608177211067</v>
      </c>
      <c r="AQ38" s="100">
        <v>31</v>
      </c>
      <c r="AR38" s="14">
        <f t="shared" si="55"/>
        <v>24</v>
      </c>
    </row>
    <row r="39" spans="1:44" s="14" customFormat="1" ht="12.75">
      <c r="A39" s="69">
        <v>3</v>
      </c>
      <c r="B39" s="69"/>
      <c r="C39" s="69">
        <v>15</v>
      </c>
      <c r="D39" s="70">
        <v>4</v>
      </c>
      <c r="E39" s="70">
        <v>1</v>
      </c>
      <c r="F39" s="71" t="s">
        <v>170</v>
      </c>
      <c r="G39" s="71">
        <v>3</v>
      </c>
      <c r="H39" s="72">
        <f t="shared" si="56"/>
        <v>0.35</v>
      </c>
      <c r="I39" s="72">
        <f t="shared" si="57"/>
        <v>2</v>
      </c>
      <c r="J39" s="72">
        <f t="shared" si="58"/>
        <v>0.7</v>
      </c>
      <c r="K39" s="72">
        <f t="shared" si="38"/>
        <v>1323.025</v>
      </c>
      <c r="L39" s="72">
        <f t="shared" si="59"/>
        <v>577.25</v>
      </c>
      <c r="M39" s="72">
        <f t="shared" si="39"/>
        <v>1328.2</v>
      </c>
      <c r="N39" s="73">
        <f t="shared" si="40"/>
        <v>577.325</v>
      </c>
      <c r="O39" s="73">
        <f t="shared" si="60"/>
        <v>5.175</v>
      </c>
      <c r="P39" s="72">
        <f t="shared" si="61"/>
        <v>18.6</v>
      </c>
      <c r="Q39" s="73">
        <f t="shared" si="41"/>
        <v>0.07500000000004547</v>
      </c>
      <c r="R39" s="72">
        <f t="shared" si="62"/>
        <v>582.5</v>
      </c>
      <c r="S39" s="73">
        <f t="shared" si="42"/>
        <v>8.12887099116359</v>
      </c>
      <c r="T39" s="73">
        <f t="shared" si="36"/>
        <v>592.65</v>
      </c>
      <c r="U39" s="73">
        <f t="shared" si="43"/>
        <v>1407.1841799529257</v>
      </c>
      <c r="V39" s="72">
        <f t="shared" si="63"/>
        <v>2733.1</v>
      </c>
      <c r="W39" s="72">
        <f t="shared" si="44"/>
        <v>611</v>
      </c>
      <c r="X39" s="73">
        <f t="shared" si="45"/>
        <v>18.450000000000003</v>
      </c>
      <c r="Y39" s="73">
        <f t="shared" si="46"/>
        <v>28.981192229365845</v>
      </c>
      <c r="Z39" s="72">
        <f t="shared" si="64"/>
        <v>750</v>
      </c>
      <c r="AA39" s="72">
        <f t="shared" si="47"/>
        <v>139</v>
      </c>
      <c r="AB39" s="73">
        <f t="shared" si="37"/>
        <v>320.6676940385484</v>
      </c>
      <c r="AC39" s="72">
        <f t="shared" si="65"/>
        <v>2787.3</v>
      </c>
      <c r="AD39" s="72">
        <f t="shared" si="66"/>
        <v>1070.4</v>
      </c>
      <c r="AE39" s="72">
        <f t="shared" si="48"/>
        <v>22.65</v>
      </c>
      <c r="AF39" s="72">
        <f t="shared" si="67"/>
        <v>1076</v>
      </c>
      <c r="AG39" s="73">
        <f t="shared" si="49"/>
        <v>35.578536801904406</v>
      </c>
      <c r="AH39" s="73">
        <f t="shared" si="50"/>
        <v>405.69116332501</v>
      </c>
      <c r="AI39" s="72">
        <f t="shared" si="51"/>
        <v>3192.9</v>
      </c>
      <c r="AJ39" s="72">
        <f t="shared" si="52"/>
        <v>1100.4</v>
      </c>
      <c r="AK39" s="73">
        <f t="shared" si="53"/>
        <v>15.95</v>
      </c>
      <c r="AL39" s="299">
        <v>108.1451</v>
      </c>
      <c r="AM39" s="72">
        <v>1</v>
      </c>
      <c r="AN39" s="92">
        <f t="shared" si="69"/>
        <v>110</v>
      </c>
      <c r="AO39" s="72">
        <f t="shared" si="68"/>
        <v>0.51</v>
      </c>
      <c r="AP39" s="75">
        <f t="shared" si="54"/>
        <v>2582.5617373389186</v>
      </c>
      <c r="AQ39" s="99">
        <v>32</v>
      </c>
      <c r="AR39" s="14">
        <f t="shared" si="55"/>
        <v>24</v>
      </c>
    </row>
    <row r="40" spans="1:44" s="14" customFormat="1" ht="12.75">
      <c r="A40" s="50"/>
      <c r="B40" s="50"/>
      <c r="C40" s="50">
        <v>14</v>
      </c>
      <c r="D40" s="51">
        <v>4</v>
      </c>
      <c r="E40" s="51">
        <v>2</v>
      </c>
      <c r="F40" s="52" t="s">
        <v>169</v>
      </c>
      <c r="G40" s="52">
        <v>3</v>
      </c>
      <c r="H40" s="53">
        <f t="shared" si="56"/>
        <v>0.35</v>
      </c>
      <c r="I40" s="53">
        <f t="shared" si="57"/>
        <v>2</v>
      </c>
      <c r="J40" s="53">
        <f t="shared" si="58"/>
        <v>0.7</v>
      </c>
      <c r="K40" s="53">
        <f t="shared" si="38"/>
        <v>1335.275</v>
      </c>
      <c r="L40" s="53">
        <f t="shared" si="59"/>
        <v>577.25</v>
      </c>
      <c r="M40" s="53">
        <f t="shared" si="39"/>
        <v>1340.45</v>
      </c>
      <c r="N40" s="54">
        <f t="shared" si="40"/>
        <v>577.325</v>
      </c>
      <c r="O40" s="54">
        <f t="shared" si="60"/>
        <v>5.175</v>
      </c>
      <c r="P40" s="53">
        <f t="shared" si="61"/>
        <v>18.6</v>
      </c>
      <c r="Q40" s="54">
        <f t="shared" si="41"/>
        <v>0.07500000000004547</v>
      </c>
      <c r="R40" s="53">
        <f t="shared" si="62"/>
        <v>582.5</v>
      </c>
      <c r="S40" s="54">
        <f t="shared" si="42"/>
        <v>8.12887099116359</v>
      </c>
      <c r="T40" s="54">
        <f t="shared" si="36"/>
        <v>591.95</v>
      </c>
      <c r="U40" s="54">
        <f t="shared" si="43"/>
        <v>1394.925332767835</v>
      </c>
      <c r="V40" s="53">
        <f t="shared" si="63"/>
        <v>2733.1</v>
      </c>
      <c r="W40" s="53">
        <f t="shared" si="44"/>
        <v>611</v>
      </c>
      <c r="X40" s="54">
        <f t="shared" si="45"/>
        <v>19.150000000000002</v>
      </c>
      <c r="Y40" s="54">
        <f t="shared" si="46"/>
        <v>30.080749658122272</v>
      </c>
      <c r="Z40" s="53">
        <f t="shared" si="64"/>
        <v>750</v>
      </c>
      <c r="AA40" s="53">
        <f t="shared" si="47"/>
        <v>139</v>
      </c>
      <c r="AB40" s="54">
        <f t="shared" si="37"/>
        <v>320.6676940385484</v>
      </c>
      <c r="AC40" s="53">
        <f t="shared" si="65"/>
        <v>2787.3</v>
      </c>
      <c r="AD40" s="53">
        <f t="shared" si="66"/>
        <v>1070.4</v>
      </c>
      <c r="AE40" s="53">
        <f t="shared" si="48"/>
        <v>21.949999999999996</v>
      </c>
      <c r="AF40" s="53">
        <f t="shared" si="67"/>
        <v>1076</v>
      </c>
      <c r="AG40" s="54">
        <f t="shared" si="49"/>
        <v>34.47897937314797</v>
      </c>
      <c r="AH40" s="54">
        <f t="shared" si="50"/>
        <v>405.69116332501</v>
      </c>
      <c r="AI40" s="53">
        <f t="shared" si="51"/>
        <v>3192.9</v>
      </c>
      <c r="AJ40" s="53">
        <f t="shared" si="52"/>
        <v>1100.4</v>
      </c>
      <c r="AK40" s="54">
        <f t="shared" si="53"/>
        <v>16.650000000000002</v>
      </c>
      <c r="AL40" s="300">
        <v>108.479</v>
      </c>
      <c r="AM40" s="53">
        <v>2</v>
      </c>
      <c r="AN40" s="92">
        <f t="shared" si="69"/>
        <v>66</v>
      </c>
      <c r="AO40" s="53">
        <f t="shared" si="68"/>
        <v>0.51</v>
      </c>
      <c r="AP40" s="55">
        <f t="shared" si="54"/>
        <v>2526.6367901538274</v>
      </c>
      <c r="AQ40" s="100">
        <v>33</v>
      </c>
      <c r="AR40" s="14">
        <f t="shared" si="55"/>
        <v>24</v>
      </c>
    </row>
    <row r="41" spans="1:44" s="14" customFormat="1" ht="12.75">
      <c r="A41" s="50"/>
      <c r="B41" s="50"/>
      <c r="C41" s="50">
        <v>13</v>
      </c>
      <c r="D41" s="51">
        <v>4</v>
      </c>
      <c r="E41" s="51">
        <v>3</v>
      </c>
      <c r="F41" s="52" t="s">
        <v>171</v>
      </c>
      <c r="G41" s="52">
        <v>3</v>
      </c>
      <c r="H41" s="53">
        <f t="shared" si="56"/>
        <v>0.35</v>
      </c>
      <c r="I41" s="53">
        <f t="shared" si="57"/>
        <v>2</v>
      </c>
      <c r="J41" s="53">
        <f t="shared" si="58"/>
        <v>0.7</v>
      </c>
      <c r="K41" s="53">
        <f t="shared" si="38"/>
        <v>1347.525</v>
      </c>
      <c r="L41" s="53">
        <f t="shared" si="59"/>
        <v>577.25</v>
      </c>
      <c r="M41" s="53">
        <f t="shared" si="39"/>
        <v>1352.7</v>
      </c>
      <c r="N41" s="54">
        <f t="shared" si="40"/>
        <v>577.325</v>
      </c>
      <c r="O41" s="54">
        <f t="shared" si="60"/>
        <v>5.175</v>
      </c>
      <c r="P41" s="53">
        <f t="shared" si="61"/>
        <v>18.6</v>
      </c>
      <c r="Q41" s="54">
        <f t="shared" si="41"/>
        <v>0.07500000000004547</v>
      </c>
      <c r="R41" s="53">
        <f t="shared" si="62"/>
        <v>582.5</v>
      </c>
      <c r="S41" s="54">
        <f t="shared" si="42"/>
        <v>8.12887099116359</v>
      </c>
      <c r="T41" s="54">
        <f t="shared" si="36"/>
        <v>591.25</v>
      </c>
      <c r="U41" s="54">
        <f t="shared" si="43"/>
        <v>1382.6677483646026</v>
      </c>
      <c r="V41" s="53">
        <f t="shared" si="63"/>
        <v>2733.1</v>
      </c>
      <c r="W41" s="53">
        <f t="shared" si="44"/>
        <v>611</v>
      </c>
      <c r="X41" s="54">
        <f t="shared" si="45"/>
        <v>19.85</v>
      </c>
      <c r="Y41" s="54">
        <f t="shared" si="46"/>
        <v>31.1803070868787</v>
      </c>
      <c r="Z41" s="53">
        <f t="shared" si="64"/>
        <v>750</v>
      </c>
      <c r="AA41" s="53">
        <f t="shared" si="47"/>
        <v>139</v>
      </c>
      <c r="AB41" s="54">
        <f t="shared" si="37"/>
        <v>320.6676940385484</v>
      </c>
      <c r="AC41" s="53">
        <f t="shared" si="65"/>
        <v>2787.3</v>
      </c>
      <c r="AD41" s="53">
        <f t="shared" si="66"/>
        <v>1070.4</v>
      </c>
      <c r="AE41" s="53">
        <f t="shared" si="48"/>
        <v>21.25</v>
      </c>
      <c r="AF41" s="53">
        <f t="shared" si="67"/>
        <v>1076</v>
      </c>
      <c r="AG41" s="54">
        <f t="shared" si="49"/>
        <v>33.37942194439155</v>
      </c>
      <c r="AH41" s="54">
        <f t="shared" si="50"/>
        <v>405.69116332501</v>
      </c>
      <c r="AI41" s="53">
        <f t="shared" si="51"/>
        <v>3192.9</v>
      </c>
      <c r="AJ41" s="53">
        <f t="shared" si="52"/>
        <v>1100.4</v>
      </c>
      <c r="AK41" s="54">
        <f t="shared" si="53"/>
        <v>17.35</v>
      </c>
      <c r="AL41" s="300">
        <v>108.8137</v>
      </c>
      <c r="AM41" s="53">
        <v>3</v>
      </c>
      <c r="AN41" s="92">
        <f t="shared" si="69"/>
        <v>22</v>
      </c>
      <c r="AO41" s="53">
        <f t="shared" si="68"/>
        <v>0.51</v>
      </c>
      <c r="AP41" s="55">
        <f t="shared" si="54"/>
        <v>2470.7139057505956</v>
      </c>
      <c r="AQ41" s="100">
        <v>34</v>
      </c>
      <c r="AR41" s="14">
        <f t="shared" si="55"/>
        <v>24</v>
      </c>
    </row>
    <row r="42" spans="1:44" s="14" customFormat="1" ht="12.75">
      <c r="A42" s="69">
        <v>3</v>
      </c>
      <c r="B42" s="69"/>
      <c r="C42" s="69">
        <v>12</v>
      </c>
      <c r="D42" s="70">
        <v>5</v>
      </c>
      <c r="E42" s="70">
        <v>1</v>
      </c>
      <c r="F42" s="71" t="s">
        <v>170</v>
      </c>
      <c r="G42" s="71">
        <v>3</v>
      </c>
      <c r="H42" s="72">
        <f t="shared" si="56"/>
        <v>0.35</v>
      </c>
      <c r="I42" s="72">
        <f t="shared" si="57"/>
        <v>2</v>
      </c>
      <c r="J42" s="72">
        <f t="shared" si="58"/>
        <v>0.7</v>
      </c>
      <c r="K42" s="72">
        <f t="shared" si="38"/>
        <v>1422.825</v>
      </c>
      <c r="L42" s="72">
        <f t="shared" si="59"/>
        <v>577.25</v>
      </c>
      <c r="M42" s="72">
        <f t="shared" si="39"/>
        <v>1428</v>
      </c>
      <c r="N42" s="73">
        <f t="shared" si="40"/>
        <v>577.325</v>
      </c>
      <c r="O42" s="73">
        <f t="shared" si="60"/>
        <v>5.175</v>
      </c>
      <c r="P42" s="72">
        <f t="shared" si="61"/>
        <v>18.6</v>
      </c>
      <c r="Q42" s="73">
        <f t="shared" si="41"/>
        <v>0.07500000000004547</v>
      </c>
      <c r="R42" s="72">
        <f t="shared" si="62"/>
        <v>582.5</v>
      </c>
      <c r="S42" s="73">
        <f t="shared" si="42"/>
        <v>8.12887099116359</v>
      </c>
      <c r="T42" s="73">
        <f t="shared" si="36"/>
        <v>590.55</v>
      </c>
      <c r="U42" s="73">
        <f t="shared" si="43"/>
        <v>1306.922714536836</v>
      </c>
      <c r="V42" s="72">
        <f t="shared" si="63"/>
        <v>2733.1</v>
      </c>
      <c r="W42" s="72">
        <f t="shared" si="44"/>
        <v>611</v>
      </c>
      <c r="X42" s="73">
        <f t="shared" si="45"/>
        <v>20.55</v>
      </c>
      <c r="Y42" s="73">
        <f t="shared" si="46"/>
        <v>32.279864515635126</v>
      </c>
      <c r="Z42" s="72">
        <f t="shared" si="64"/>
        <v>750</v>
      </c>
      <c r="AA42" s="72">
        <f t="shared" si="47"/>
        <v>139</v>
      </c>
      <c r="AB42" s="73">
        <f t="shared" si="37"/>
        <v>320.66769403854835</v>
      </c>
      <c r="AC42" s="72">
        <f t="shared" si="65"/>
        <v>2787.3</v>
      </c>
      <c r="AD42" s="72">
        <f t="shared" si="66"/>
        <v>1070.4</v>
      </c>
      <c r="AE42" s="72">
        <f t="shared" si="48"/>
        <v>20.549999999999997</v>
      </c>
      <c r="AF42" s="72">
        <f t="shared" si="67"/>
        <v>1076</v>
      </c>
      <c r="AG42" s="73">
        <f t="shared" si="49"/>
        <v>32.27986451563512</v>
      </c>
      <c r="AH42" s="73">
        <f t="shared" si="50"/>
        <v>405.69116332501</v>
      </c>
      <c r="AI42" s="72">
        <f t="shared" si="51"/>
        <v>3192.9</v>
      </c>
      <c r="AJ42" s="72">
        <f t="shared" si="52"/>
        <v>1100.4</v>
      </c>
      <c r="AK42" s="73">
        <f t="shared" si="53"/>
        <v>18.05</v>
      </c>
      <c r="AL42" s="299">
        <v>118.7582</v>
      </c>
      <c r="AM42" s="72">
        <v>1</v>
      </c>
      <c r="AN42" s="92">
        <f t="shared" si="69"/>
        <v>110</v>
      </c>
      <c r="AO42" s="72">
        <f t="shared" si="68"/>
        <v>0.51</v>
      </c>
      <c r="AP42" s="75">
        <f t="shared" si="54"/>
        <v>2492.913371922829</v>
      </c>
      <c r="AQ42" s="99">
        <v>35</v>
      </c>
      <c r="AR42" s="14">
        <f t="shared" si="55"/>
        <v>24</v>
      </c>
    </row>
    <row r="43" spans="1:44" s="14" customFormat="1" ht="12.75">
      <c r="A43" s="50"/>
      <c r="B43" s="50"/>
      <c r="C43" s="50">
        <v>11</v>
      </c>
      <c r="D43" s="51">
        <v>5</v>
      </c>
      <c r="E43" s="51">
        <v>2</v>
      </c>
      <c r="F43" s="52" t="s">
        <v>169</v>
      </c>
      <c r="G43" s="52">
        <v>3</v>
      </c>
      <c r="H43" s="53">
        <f t="shared" si="56"/>
        <v>0.35</v>
      </c>
      <c r="I43" s="53">
        <f t="shared" si="57"/>
        <v>2</v>
      </c>
      <c r="J43" s="53">
        <f t="shared" si="58"/>
        <v>0.7</v>
      </c>
      <c r="K43" s="53">
        <f t="shared" si="38"/>
        <v>1435.075</v>
      </c>
      <c r="L43" s="53">
        <f t="shared" si="59"/>
        <v>577.25</v>
      </c>
      <c r="M43" s="53">
        <f t="shared" si="39"/>
        <v>1440.25</v>
      </c>
      <c r="N43" s="54">
        <f t="shared" si="40"/>
        <v>577.325</v>
      </c>
      <c r="O43" s="54">
        <f t="shared" si="60"/>
        <v>5.175</v>
      </c>
      <c r="P43" s="53">
        <f t="shared" si="61"/>
        <v>18.6</v>
      </c>
      <c r="Q43" s="54">
        <f t="shared" si="41"/>
        <v>0.07500000000004547</v>
      </c>
      <c r="R43" s="53">
        <f t="shared" si="62"/>
        <v>582.5</v>
      </c>
      <c r="S43" s="54">
        <f t="shared" si="42"/>
        <v>8.12887099116359</v>
      </c>
      <c r="T43" s="54">
        <f t="shared" si="36"/>
        <v>589.85</v>
      </c>
      <c r="U43" s="54">
        <f t="shared" si="43"/>
        <v>1294.6653497174404</v>
      </c>
      <c r="V43" s="53">
        <f t="shared" si="63"/>
        <v>2733.1</v>
      </c>
      <c r="W43" s="53">
        <f t="shared" si="44"/>
        <v>611</v>
      </c>
      <c r="X43" s="54">
        <f t="shared" si="45"/>
        <v>21.25</v>
      </c>
      <c r="Y43" s="54">
        <f t="shared" si="46"/>
        <v>33.37942194439155</v>
      </c>
      <c r="Z43" s="53">
        <f t="shared" si="64"/>
        <v>750</v>
      </c>
      <c r="AA43" s="53">
        <f t="shared" si="47"/>
        <v>139</v>
      </c>
      <c r="AB43" s="54">
        <f t="shared" si="37"/>
        <v>320.6676940385484</v>
      </c>
      <c r="AC43" s="53">
        <f t="shared" si="65"/>
        <v>2787.3</v>
      </c>
      <c r="AD43" s="53">
        <f t="shared" si="66"/>
        <v>1070.4</v>
      </c>
      <c r="AE43" s="53">
        <f t="shared" si="48"/>
        <v>19.849999999999998</v>
      </c>
      <c r="AF43" s="53">
        <f t="shared" si="67"/>
        <v>1076</v>
      </c>
      <c r="AG43" s="54">
        <f t="shared" si="49"/>
        <v>31.180307086878692</v>
      </c>
      <c r="AH43" s="54">
        <f t="shared" si="50"/>
        <v>405.69116332501</v>
      </c>
      <c r="AI43" s="53">
        <f t="shared" si="51"/>
        <v>3192.9</v>
      </c>
      <c r="AJ43" s="53">
        <f t="shared" si="52"/>
        <v>1100.4</v>
      </c>
      <c r="AK43" s="54">
        <f t="shared" si="53"/>
        <v>18.75</v>
      </c>
      <c r="AL43" s="300">
        <v>119.051</v>
      </c>
      <c r="AM43" s="53">
        <v>2</v>
      </c>
      <c r="AN43" s="92">
        <f t="shared" si="69"/>
        <v>66</v>
      </c>
      <c r="AO43" s="53">
        <f t="shared" si="68"/>
        <v>0.51</v>
      </c>
      <c r="AP43" s="55">
        <f t="shared" si="54"/>
        <v>2436.948807103433</v>
      </c>
      <c r="AQ43" s="100">
        <v>36</v>
      </c>
      <c r="AR43" s="14">
        <f t="shared" si="55"/>
        <v>24</v>
      </c>
    </row>
    <row r="44" spans="1:44" s="14" customFormat="1" ht="12.75">
      <c r="A44" s="50"/>
      <c r="B44" s="50"/>
      <c r="C44" s="50">
        <v>10</v>
      </c>
      <c r="D44" s="51">
        <v>5</v>
      </c>
      <c r="E44" s="51">
        <v>3</v>
      </c>
      <c r="F44" s="52" t="s">
        <v>171</v>
      </c>
      <c r="G44" s="52">
        <v>3</v>
      </c>
      <c r="H44" s="53">
        <f t="shared" si="56"/>
        <v>0.35</v>
      </c>
      <c r="I44" s="53">
        <f t="shared" si="57"/>
        <v>2</v>
      </c>
      <c r="J44" s="53">
        <f t="shared" si="58"/>
        <v>0.7</v>
      </c>
      <c r="K44" s="53">
        <f t="shared" si="38"/>
        <v>1447.325</v>
      </c>
      <c r="L44" s="53">
        <f t="shared" si="59"/>
        <v>577.25</v>
      </c>
      <c r="M44" s="53">
        <f t="shared" si="39"/>
        <v>1452.5</v>
      </c>
      <c r="N44" s="54">
        <f t="shared" si="40"/>
        <v>577.325</v>
      </c>
      <c r="O44" s="54">
        <f t="shared" si="60"/>
        <v>5.175</v>
      </c>
      <c r="P44" s="53">
        <f t="shared" si="61"/>
        <v>18.6</v>
      </c>
      <c r="Q44" s="54">
        <f t="shared" si="41"/>
        <v>0.07500000000004547</v>
      </c>
      <c r="R44" s="53">
        <f t="shared" si="62"/>
        <v>582.5</v>
      </c>
      <c r="S44" s="54">
        <f t="shared" si="42"/>
        <v>8.12887099116359</v>
      </c>
      <c r="T44" s="54">
        <f t="shared" si="36"/>
        <v>589.15</v>
      </c>
      <c r="U44" s="54">
        <f t="shared" si="43"/>
        <v>1282.409374477635</v>
      </c>
      <c r="V44" s="53">
        <f t="shared" si="63"/>
        <v>2733.1</v>
      </c>
      <c r="W44" s="53">
        <f t="shared" si="44"/>
        <v>611</v>
      </c>
      <c r="X44" s="54">
        <f t="shared" si="45"/>
        <v>21.950000000000003</v>
      </c>
      <c r="Y44" s="54">
        <f t="shared" si="46"/>
        <v>34.478979373147986</v>
      </c>
      <c r="Z44" s="53">
        <f t="shared" si="64"/>
        <v>750</v>
      </c>
      <c r="AA44" s="53">
        <f t="shared" si="47"/>
        <v>139</v>
      </c>
      <c r="AB44" s="54">
        <f t="shared" si="37"/>
        <v>320.6676940385484</v>
      </c>
      <c r="AC44" s="53">
        <f t="shared" si="65"/>
        <v>2787.3</v>
      </c>
      <c r="AD44" s="53">
        <f t="shared" si="66"/>
        <v>1070.4</v>
      </c>
      <c r="AE44" s="53">
        <f t="shared" si="48"/>
        <v>19.15</v>
      </c>
      <c r="AF44" s="53">
        <f t="shared" si="67"/>
        <v>1076</v>
      </c>
      <c r="AG44" s="54">
        <f t="shared" si="49"/>
        <v>30.080749658122265</v>
      </c>
      <c r="AH44" s="54">
        <f t="shared" si="50"/>
        <v>405.69116332501</v>
      </c>
      <c r="AI44" s="53">
        <f t="shared" si="51"/>
        <v>3192.9</v>
      </c>
      <c r="AJ44" s="53">
        <f t="shared" si="52"/>
        <v>1100.4</v>
      </c>
      <c r="AK44" s="54">
        <f t="shared" si="53"/>
        <v>19.450000000000003</v>
      </c>
      <c r="AL44" s="300">
        <v>119.3533</v>
      </c>
      <c r="AM44" s="53">
        <v>3</v>
      </c>
      <c r="AN44" s="92">
        <f t="shared" si="69"/>
        <v>22</v>
      </c>
      <c r="AO44" s="53">
        <f t="shared" si="68"/>
        <v>0.51</v>
      </c>
      <c r="AP44" s="55">
        <f t="shared" si="54"/>
        <v>2380.9951318636276</v>
      </c>
      <c r="AQ44" s="100">
        <v>37</v>
      </c>
      <c r="AR44" s="14">
        <f t="shared" si="55"/>
        <v>24</v>
      </c>
    </row>
    <row r="45" spans="1:44" s="14" customFormat="1" ht="12.75">
      <c r="A45" s="69">
        <v>3</v>
      </c>
      <c r="B45" s="69"/>
      <c r="C45" s="69">
        <v>9</v>
      </c>
      <c r="D45" s="70">
        <v>6</v>
      </c>
      <c r="E45" s="70">
        <v>1</v>
      </c>
      <c r="F45" s="71" t="s">
        <v>170</v>
      </c>
      <c r="G45" s="71">
        <v>3</v>
      </c>
      <c r="H45" s="72">
        <f t="shared" si="56"/>
        <v>0.35</v>
      </c>
      <c r="I45" s="72">
        <f t="shared" si="57"/>
        <v>2</v>
      </c>
      <c r="J45" s="72">
        <f t="shared" si="58"/>
        <v>0.7</v>
      </c>
      <c r="K45" s="72">
        <f t="shared" si="38"/>
        <v>1794.525</v>
      </c>
      <c r="L45" s="72">
        <f t="shared" si="59"/>
        <v>577.25</v>
      </c>
      <c r="M45" s="72">
        <f t="shared" si="39"/>
        <v>1799.7</v>
      </c>
      <c r="N45" s="73">
        <f t="shared" si="40"/>
        <v>577.325</v>
      </c>
      <c r="O45" s="73">
        <f t="shared" si="60"/>
        <v>5.175</v>
      </c>
      <c r="P45" s="72">
        <f t="shared" si="61"/>
        <v>18.6</v>
      </c>
      <c r="Q45" s="73">
        <f t="shared" si="41"/>
        <v>0.07500000000004547</v>
      </c>
      <c r="R45" s="72">
        <f t="shared" si="62"/>
        <v>582.5</v>
      </c>
      <c r="S45" s="73">
        <f t="shared" si="42"/>
        <v>8.12887099116359</v>
      </c>
      <c r="T45" s="73">
        <f t="shared" si="36"/>
        <v>588.45</v>
      </c>
      <c r="U45" s="73">
        <f t="shared" si="43"/>
        <v>934.7667986489207</v>
      </c>
      <c r="V45" s="72">
        <f t="shared" si="63"/>
        <v>2733.1</v>
      </c>
      <c r="W45" s="72">
        <f t="shared" si="44"/>
        <v>611</v>
      </c>
      <c r="X45" s="73">
        <f t="shared" si="45"/>
        <v>22.65</v>
      </c>
      <c r="Y45" s="73">
        <f t="shared" si="46"/>
        <v>35.578536801904406</v>
      </c>
      <c r="Z45" s="72">
        <f t="shared" si="64"/>
        <v>750</v>
      </c>
      <c r="AA45" s="72">
        <f t="shared" si="47"/>
        <v>139</v>
      </c>
      <c r="AB45" s="73">
        <f t="shared" si="37"/>
        <v>320.6676940385484</v>
      </c>
      <c r="AC45" s="72">
        <f t="shared" si="65"/>
        <v>2787.3</v>
      </c>
      <c r="AD45" s="72">
        <f t="shared" si="66"/>
        <v>1070.4</v>
      </c>
      <c r="AE45" s="72">
        <f t="shared" si="48"/>
        <v>18.45</v>
      </c>
      <c r="AF45" s="72">
        <f t="shared" si="67"/>
        <v>1076</v>
      </c>
      <c r="AG45" s="73">
        <f t="shared" si="49"/>
        <v>28.981192229365842</v>
      </c>
      <c r="AH45" s="73">
        <f t="shared" si="50"/>
        <v>405.69116332501</v>
      </c>
      <c r="AI45" s="72">
        <f t="shared" si="51"/>
        <v>3192.9</v>
      </c>
      <c r="AJ45" s="72">
        <f t="shared" si="52"/>
        <v>1100.4</v>
      </c>
      <c r="AK45" s="73">
        <f t="shared" si="53"/>
        <v>20.15</v>
      </c>
      <c r="AL45" s="299">
        <v>131.1952</v>
      </c>
      <c r="AM45" s="72">
        <v>1</v>
      </c>
      <c r="AN45" s="92">
        <f t="shared" si="69"/>
        <v>110</v>
      </c>
      <c r="AO45" s="72">
        <f t="shared" si="68"/>
        <v>0.51</v>
      </c>
      <c r="AP45" s="75">
        <f t="shared" si="54"/>
        <v>2133.1944560349134</v>
      </c>
      <c r="AQ45" s="99">
        <v>38</v>
      </c>
      <c r="AR45" s="14">
        <f t="shared" si="55"/>
        <v>24</v>
      </c>
    </row>
    <row r="46" spans="1:44" s="14" customFormat="1" ht="12.75">
      <c r="A46" s="50"/>
      <c r="B46" s="50"/>
      <c r="C46" s="50">
        <v>8</v>
      </c>
      <c r="D46" s="51">
        <v>6</v>
      </c>
      <c r="E46" s="51">
        <v>2</v>
      </c>
      <c r="F46" s="52" t="s">
        <v>169</v>
      </c>
      <c r="G46" s="52">
        <v>3</v>
      </c>
      <c r="H46" s="53">
        <f t="shared" si="56"/>
        <v>0.35</v>
      </c>
      <c r="I46" s="53">
        <f t="shared" si="57"/>
        <v>2</v>
      </c>
      <c r="J46" s="53">
        <f t="shared" si="58"/>
        <v>0.7</v>
      </c>
      <c r="K46" s="53">
        <f t="shared" si="38"/>
        <v>1806.775</v>
      </c>
      <c r="L46" s="53">
        <f t="shared" si="59"/>
        <v>577.25</v>
      </c>
      <c r="M46" s="53">
        <f t="shared" si="39"/>
        <v>1811.95</v>
      </c>
      <c r="N46" s="54">
        <f t="shared" si="40"/>
        <v>577.325</v>
      </c>
      <c r="O46" s="54">
        <f t="shared" si="60"/>
        <v>5.175</v>
      </c>
      <c r="P46" s="53">
        <f t="shared" si="61"/>
        <v>18.6</v>
      </c>
      <c r="Q46" s="54">
        <f t="shared" si="41"/>
        <v>0.07500000000004547</v>
      </c>
      <c r="R46" s="53">
        <f t="shared" si="62"/>
        <v>582.5</v>
      </c>
      <c r="S46" s="54">
        <f t="shared" si="42"/>
        <v>8.12887099116359</v>
      </c>
      <c r="T46" s="54">
        <f t="shared" si="36"/>
        <v>587.75</v>
      </c>
      <c r="U46" s="54">
        <f t="shared" si="43"/>
        <v>922.5095749380233</v>
      </c>
      <c r="V46" s="53">
        <f t="shared" si="63"/>
        <v>2733.1</v>
      </c>
      <c r="W46" s="53">
        <f t="shared" si="44"/>
        <v>611</v>
      </c>
      <c r="X46" s="54">
        <f t="shared" si="45"/>
        <v>23.35</v>
      </c>
      <c r="Y46" s="54">
        <f t="shared" si="46"/>
        <v>36.67809423066084</v>
      </c>
      <c r="Z46" s="53">
        <f t="shared" si="64"/>
        <v>750</v>
      </c>
      <c r="AA46" s="53">
        <f t="shared" si="47"/>
        <v>139</v>
      </c>
      <c r="AB46" s="54">
        <f t="shared" si="37"/>
        <v>320.6676940385484</v>
      </c>
      <c r="AC46" s="53">
        <f t="shared" si="65"/>
        <v>2787.3</v>
      </c>
      <c r="AD46" s="53">
        <f t="shared" si="66"/>
        <v>1070.4</v>
      </c>
      <c r="AE46" s="53">
        <f t="shared" si="48"/>
        <v>17.75</v>
      </c>
      <c r="AF46" s="53">
        <f t="shared" si="67"/>
        <v>1076</v>
      </c>
      <c r="AG46" s="54">
        <f t="shared" si="49"/>
        <v>27.881634800609415</v>
      </c>
      <c r="AH46" s="54">
        <f t="shared" si="50"/>
        <v>405.69116332501</v>
      </c>
      <c r="AI46" s="53">
        <f t="shared" si="51"/>
        <v>3192.9</v>
      </c>
      <c r="AJ46" s="53">
        <f t="shared" si="52"/>
        <v>1100.4</v>
      </c>
      <c r="AK46" s="54">
        <f t="shared" si="53"/>
        <v>20.85</v>
      </c>
      <c r="AL46" s="300">
        <v>131.4344</v>
      </c>
      <c r="AM46" s="53">
        <v>2</v>
      </c>
      <c r="AN46" s="92">
        <f t="shared" si="69"/>
        <v>66</v>
      </c>
      <c r="AO46" s="53">
        <f t="shared" si="68"/>
        <v>0.51</v>
      </c>
      <c r="AP46" s="55">
        <f t="shared" si="54"/>
        <v>2077.176432324016</v>
      </c>
      <c r="AQ46" s="100">
        <v>39</v>
      </c>
      <c r="AR46" s="14">
        <f t="shared" si="55"/>
        <v>24</v>
      </c>
    </row>
    <row r="47" spans="1:44" s="14" customFormat="1" ht="13.5" thickBot="1">
      <c r="A47" s="50"/>
      <c r="B47" s="50"/>
      <c r="C47" s="50">
        <v>7</v>
      </c>
      <c r="D47" s="51">
        <v>6</v>
      </c>
      <c r="E47" s="51">
        <v>3</v>
      </c>
      <c r="F47" s="52" t="s">
        <v>171</v>
      </c>
      <c r="G47" s="52">
        <v>3</v>
      </c>
      <c r="H47" s="53">
        <f t="shared" si="56"/>
        <v>0.35</v>
      </c>
      <c r="I47" s="53">
        <f t="shared" si="57"/>
        <v>2</v>
      </c>
      <c r="J47" s="53">
        <f t="shared" si="58"/>
        <v>0.7</v>
      </c>
      <c r="K47" s="53">
        <f t="shared" si="38"/>
        <v>1819.025</v>
      </c>
      <c r="L47" s="53">
        <f t="shared" si="59"/>
        <v>577.25</v>
      </c>
      <c r="M47" s="53">
        <f t="shared" si="39"/>
        <v>1824.2</v>
      </c>
      <c r="N47" s="54">
        <f t="shared" si="40"/>
        <v>577.325</v>
      </c>
      <c r="O47" s="54">
        <f t="shared" si="60"/>
        <v>5.175</v>
      </c>
      <c r="P47" s="53">
        <f t="shared" si="61"/>
        <v>18.6</v>
      </c>
      <c r="Q47" s="54">
        <f t="shared" si="41"/>
        <v>0.07500000000004547</v>
      </c>
      <c r="R47" s="53">
        <f t="shared" si="62"/>
        <v>582.5</v>
      </c>
      <c r="S47" s="54">
        <f t="shared" si="42"/>
        <v>8.12887099116359</v>
      </c>
      <c r="T47" s="54">
        <f t="shared" si="36"/>
        <v>587.05</v>
      </c>
      <c r="U47" s="54">
        <f t="shared" si="43"/>
        <v>910.2543128954774</v>
      </c>
      <c r="V47" s="53">
        <f t="shared" si="63"/>
        <v>2733.1</v>
      </c>
      <c r="W47" s="53">
        <f t="shared" si="44"/>
        <v>611</v>
      </c>
      <c r="X47" s="54">
        <f t="shared" si="45"/>
        <v>24.05</v>
      </c>
      <c r="Y47" s="54">
        <f t="shared" si="46"/>
        <v>37.777651659417266</v>
      </c>
      <c r="Z47" s="53">
        <f t="shared" si="64"/>
        <v>750</v>
      </c>
      <c r="AA47" s="53">
        <f t="shared" si="47"/>
        <v>139</v>
      </c>
      <c r="AB47" s="54">
        <f t="shared" si="37"/>
        <v>320.66769403854835</v>
      </c>
      <c r="AC47" s="53">
        <f t="shared" si="65"/>
        <v>2787.3</v>
      </c>
      <c r="AD47" s="53">
        <f t="shared" si="66"/>
        <v>1070.4</v>
      </c>
      <c r="AE47" s="53">
        <f t="shared" si="48"/>
        <v>17.049999999999997</v>
      </c>
      <c r="AF47" s="53">
        <f t="shared" si="67"/>
        <v>1076</v>
      </c>
      <c r="AG47" s="54">
        <f t="shared" si="49"/>
        <v>26.78207737185298</v>
      </c>
      <c r="AH47" s="54">
        <f t="shared" si="50"/>
        <v>405.69116332501</v>
      </c>
      <c r="AI47" s="53">
        <f t="shared" si="51"/>
        <v>3192.9</v>
      </c>
      <c r="AJ47" s="53">
        <f t="shared" si="52"/>
        <v>1100.4</v>
      </c>
      <c r="AK47" s="54">
        <f t="shared" si="53"/>
        <v>21.55</v>
      </c>
      <c r="AL47" s="300">
        <v>131.7087</v>
      </c>
      <c r="AM47" s="53">
        <v>3</v>
      </c>
      <c r="AN47" s="92">
        <f t="shared" si="69"/>
        <v>22</v>
      </c>
      <c r="AO47" s="53">
        <f t="shared" si="68"/>
        <v>0.51</v>
      </c>
      <c r="AP47" s="55">
        <f t="shared" si="54"/>
        <v>2021.1954702814692</v>
      </c>
      <c r="AQ47" s="100">
        <v>40</v>
      </c>
      <c r="AR47" s="14">
        <f t="shared" si="55"/>
        <v>24</v>
      </c>
    </row>
    <row r="48" spans="1:44" s="14" customFormat="1" ht="12.75">
      <c r="A48" s="69"/>
      <c r="B48" s="69">
        <v>3</v>
      </c>
      <c r="C48" s="69">
        <v>6</v>
      </c>
      <c r="D48" s="70">
        <v>7</v>
      </c>
      <c r="E48" s="70">
        <v>1</v>
      </c>
      <c r="F48" s="45" t="s">
        <v>168</v>
      </c>
      <c r="G48" s="71">
        <v>3</v>
      </c>
      <c r="H48" s="72">
        <f t="shared" si="56"/>
        <v>0.35</v>
      </c>
      <c r="I48" s="72">
        <f t="shared" si="57"/>
        <v>2</v>
      </c>
      <c r="J48" s="72">
        <f t="shared" si="58"/>
        <v>0.7</v>
      </c>
      <c r="K48" s="72">
        <f t="shared" si="38"/>
        <v>2138.325</v>
      </c>
      <c r="L48" s="72">
        <f t="shared" si="59"/>
        <v>577.25</v>
      </c>
      <c r="M48" s="72">
        <f t="shared" si="39"/>
        <v>2143.5</v>
      </c>
      <c r="N48" s="73">
        <f t="shared" si="40"/>
        <v>577.325</v>
      </c>
      <c r="O48" s="73">
        <f t="shared" si="60"/>
        <v>5.175</v>
      </c>
      <c r="P48" s="72">
        <f t="shared" si="61"/>
        <v>18.6</v>
      </c>
      <c r="Q48" s="73">
        <f t="shared" si="41"/>
        <v>0.07500000000004547</v>
      </c>
      <c r="R48" s="72">
        <f t="shared" si="62"/>
        <v>582.5</v>
      </c>
      <c r="S48" s="73">
        <f t="shared" si="42"/>
        <v>8.12887099116359</v>
      </c>
      <c r="T48" s="73">
        <f t="shared" si="36"/>
        <v>586.35</v>
      </c>
      <c r="U48" s="73">
        <f t="shared" si="43"/>
        <v>590.5103883073973</v>
      </c>
      <c r="V48" s="72">
        <f t="shared" si="63"/>
        <v>2733.1</v>
      </c>
      <c r="W48" s="72">
        <f t="shared" si="44"/>
        <v>611</v>
      </c>
      <c r="X48" s="73">
        <f t="shared" si="45"/>
        <v>24.75</v>
      </c>
      <c r="Y48" s="73">
        <f t="shared" si="46"/>
        <v>38.87720908817369</v>
      </c>
      <c r="Z48" s="72">
        <f t="shared" si="64"/>
        <v>750</v>
      </c>
      <c r="AA48" s="72">
        <f t="shared" si="47"/>
        <v>139</v>
      </c>
      <c r="AB48" s="73">
        <f t="shared" si="37"/>
        <v>320.6676940385484</v>
      </c>
      <c r="AC48" s="72">
        <f t="shared" si="65"/>
        <v>2787.3</v>
      </c>
      <c r="AD48" s="72">
        <f t="shared" si="66"/>
        <v>1070.4</v>
      </c>
      <c r="AE48" s="72">
        <f t="shared" si="48"/>
        <v>16.349999999999998</v>
      </c>
      <c r="AF48" s="72">
        <f t="shared" si="67"/>
        <v>1076</v>
      </c>
      <c r="AG48" s="73">
        <f t="shared" si="49"/>
        <v>25.682519943096555</v>
      </c>
      <c r="AH48" s="73">
        <f t="shared" si="50"/>
        <v>405.69116332501</v>
      </c>
      <c r="AI48" s="72">
        <f t="shared" si="51"/>
        <v>3192.9</v>
      </c>
      <c r="AJ48" s="72">
        <f t="shared" si="52"/>
        <v>1100.4</v>
      </c>
      <c r="AK48" s="73">
        <f t="shared" si="53"/>
        <v>22.25</v>
      </c>
      <c r="AL48" s="299">
        <v>180.4107</v>
      </c>
      <c r="AM48" s="72">
        <v>1</v>
      </c>
      <c r="AN48" s="92">
        <f t="shared" si="69"/>
        <v>66</v>
      </c>
      <c r="AO48" s="72">
        <f t="shared" si="68"/>
        <v>0.51</v>
      </c>
      <c r="AP48" s="75">
        <f t="shared" si="54"/>
        <v>1794.1535456933896</v>
      </c>
      <c r="AQ48" s="99">
        <v>41</v>
      </c>
      <c r="AR48" s="14">
        <f t="shared" si="55"/>
        <v>24</v>
      </c>
    </row>
    <row r="49" spans="1:44" s="14" customFormat="1" ht="13.5" thickBot="1">
      <c r="A49" s="50"/>
      <c r="B49" s="50"/>
      <c r="C49" s="50">
        <v>5</v>
      </c>
      <c r="D49" s="51">
        <v>7</v>
      </c>
      <c r="E49" s="51">
        <v>2</v>
      </c>
      <c r="F49" s="64" t="s">
        <v>169</v>
      </c>
      <c r="G49" s="52">
        <v>3</v>
      </c>
      <c r="H49" s="53">
        <f t="shared" si="56"/>
        <v>0.35</v>
      </c>
      <c r="I49" s="53">
        <f t="shared" si="57"/>
        <v>2</v>
      </c>
      <c r="J49" s="53">
        <f t="shared" si="58"/>
        <v>0.7</v>
      </c>
      <c r="K49" s="53">
        <f t="shared" si="38"/>
        <v>2150.575</v>
      </c>
      <c r="L49" s="53">
        <f t="shared" si="59"/>
        <v>577.25</v>
      </c>
      <c r="M49" s="53">
        <f t="shared" si="39"/>
        <v>2155.75</v>
      </c>
      <c r="N49" s="54">
        <f t="shared" si="40"/>
        <v>577.325</v>
      </c>
      <c r="O49" s="54">
        <f t="shared" si="60"/>
        <v>5.175</v>
      </c>
      <c r="P49" s="53">
        <f t="shared" si="61"/>
        <v>18.6</v>
      </c>
      <c r="Q49" s="54">
        <f t="shared" si="41"/>
        <v>0.07500000000004547</v>
      </c>
      <c r="R49" s="53">
        <f t="shared" si="62"/>
        <v>582.5</v>
      </c>
      <c r="S49" s="54">
        <f t="shared" si="42"/>
        <v>8.12887099116359</v>
      </c>
      <c r="T49" s="54">
        <f t="shared" si="36"/>
        <v>585.65</v>
      </c>
      <c r="U49" s="54">
        <f t="shared" si="43"/>
        <v>578.2538191611794</v>
      </c>
      <c r="V49" s="53">
        <f t="shared" si="63"/>
        <v>2733.1</v>
      </c>
      <c r="W49" s="53">
        <f t="shared" si="44"/>
        <v>611</v>
      </c>
      <c r="X49" s="54">
        <f t="shared" si="45"/>
        <v>25.450000000000003</v>
      </c>
      <c r="Y49" s="54">
        <f t="shared" si="46"/>
        <v>39.97676651693012</v>
      </c>
      <c r="Z49" s="53">
        <f t="shared" si="64"/>
        <v>750</v>
      </c>
      <c r="AA49" s="53">
        <f t="shared" si="47"/>
        <v>139</v>
      </c>
      <c r="AB49" s="54">
        <f t="shared" si="37"/>
        <v>320.6676940385484</v>
      </c>
      <c r="AC49" s="53">
        <f t="shared" si="65"/>
        <v>2787.3</v>
      </c>
      <c r="AD49" s="53">
        <f t="shared" si="66"/>
        <v>1070.4</v>
      </c>
      <c r="AE49" s="53">
        <f t="shared" si="48"/>
        <v>15.65</v>
      </c>
      <c r="AF49" s="53">
        <f t="shared" si="67"/>
        <v>1076</v>
      </c>
      <c r="AG49" s="54">
        <f t="shared" si="49"/>
        <v>24.58296251434013</v>
      </c>
      <c r="AH49" s="54">
        <f t="shared" si="50"/>
        <v>405.69116332501</v>
      </c>
      <c r="AI49" s="53">
        <f t="shared" si="51"/>
        <v>3192.9</v>
      </c>
      <c r="AJ49" s="53">
        <f t="shared" si="52"/>
        <v>1100.4</v>
      </c>
      <c r="AK49" s="54">
        <f t="shared" si="53"/>
        <v>22.950000000000003</v>
      </c>
      <c r="AL49" s="300">
        <v>180.6772</v>
      </c>
      <c r="AM49" s="53">
        <v>2</v>
      </c>
      <c r="AN49" s="92">
        <f t="shared" si="69"/>
        <v>22</v>
      </c>
      <c r="AO49" s="53">
        <f t="shared" si="68"/>
        <v>0.51</v>
      </c>
      <c r="AP49" s="55">
        <f t="shared" si="54"/>
        <v>1738.1634765471717</v>
      </c>
      <c r="AQ49" s="100">
        <v>42</v>
      </c>
      <c r="AR49" s="14">
        <f t="shared" si="55"/>
        <v>24</v>
      </c>
    </row>
    <row r="50" spans="1:44" s="14" customFormat="1" ht="12.75">
      <c r="A50" s="69"/>
      <c r="B50" s="69">
        <v>3</v>
      </c>
      <c r="C50" s="69">
        <v>4</v>
      </c>
      <c r="D50" s="70">
        <v>8</v>
      </c>
      <c r="E50" s="70">
        <v>1</v>
      </c>
      <c r="F50" s="45" t="s">
        <v>168</v>
      </c>
      <c r="G50" s="71">
        <v>3</v>
      </c>
      <c r="H50" s="72">
        <f t="shared" si="56"/>
        <v>0.35</v>
      </c>
      <c r="I50" s="72">
        <f t="shared" si="57"/>
        <v>2</v>
      </c>
      <c r="J50" s="72">
        <f t="shared" si="58"/>
        <v>0.7</v>
      </c>
      <c r="K50" s="72">
        <f t="shared" si="38"/>
        <v>2528.125</v>
      </c>
      <c r="L50" s="72">
        <f t="shared" si="59"/>
        <v>577.25</v>
      </c>
      <c r="M50" s="72">
        <f t="shared" si="39"/>
        <v>2533.3</v>
      </c>
      <c r="N50" s="73">
        <f t="shared" si="40"/>
        <v>577.325</v>
      </c>
      <c r="O50" s="73">
        <f t="shared" si="60"/>
        <v>5.175</v>
      </c>
      <c r="P50" s="72">
        <f t="shared" si="61"/>
        <v>18.6</v>
      </c>
      <c r="Q50" s="73">
        <f t="shared" si="41"/>
        <v>0.07500000000004547</v>
      </c>
      <c r="R50" s="72">
        <f t="shared" si="62"/>
        <v>582.5</v>
      </c>
      <c r="S50" s="73">
        <f t="shared" si="42"/>
        <v>8.12887099116359</v>
      </c>
      <c r="T50" s="73">
        <f t="shared" si="36"/>
        <v>584.95</v>
      </c>
      <c r="U50" s="73">
        <f t="shared" si="43"/>
        <v>200.26103573126258</v>
      </c>
      <c r="V50" s="72">
        <f t="shared" si="63"/>
        <v>2733.1</v>
      </c>
      <c r="W50" s="72">
        <f t="shared" si="44"/>
        <v>611</v>
      </c>
      <c r="X50" s="73">
        <f t="shared" si="45"/>
        <v>26.15</v>
      </c>
      <c r="Y50" s="73">
        <f t="shared" si="46"/>
        <v>41.07632394568654</v>
      </c>
      <c r="Z50" s="72">
        <f t="shared" si="64"/>
        <v>750</v>
      </c>
      <c r="AA50" s="72">
        <f t="shared" si="47"/>
        <v>139</v>
      </c>
      <c r="AB50" s="73">
        <f t="shared" si="37"/>
        <v>320.6676940385484</v>
      </c>
      <c r="AC50" s="72">
        <f t="shared" si="65"/>
        <v>2787.3</v>
      </c>
      <c r="AD50" s="72">
        <f t="shared" si="66"/>
        <v>1070.4</v>
      </c>
      <c r="AE50" s="72">
        <f t="shared" si="48"/>
        <v>14.950000000000001</v>
      </c>
      <c r="AF50" s="72">
        <f t="shared" si="67"/>
        <v>1076</v>
      </c>
      <c r="AG50" s="73">
        <f t="shared" si="49"/>
        <v>23.483405085583705</v>
      </c>
      <c r="AH50" s="73">
        <f t="shared" si="50"/>
        <v>405.69116332501</v>
      </c>
      <c r="AI50" s="72">
        <f t="shared" si="51"/>
        <v>3192.9</v>
      </c>
      <c r="AJ50" s="72">
        <f t="shared" si="52"/>
        <v>1100.4</v>
      </c>
      <c r="AK50" s="73">
        <f t="shared" si="53"/>
        <v>23.65</v>
      </c>
      <c r="AL50" s="299">
        <v>189.1822</v>
      </c>
      <c r="AM50" s="72">
        <v>1</v>
      </c>
      <c r="AN50" s="92">
        <f t="shared" si="69"/>
        <v>66</v>
      </c>
      <c r="AO50" s="72">
        <f t="shared" si="68"/>
        <v>0.51</v>
      </c>
      <c r="AP50" s="75">
        <f t="shared" si="54"/>
        <v>1412.675693117255</v>
      </c>
      <c r="AQ50" s="99">
        <v>43</v>
      </c>
      <c r="AR50" s="14">
        <f t="shared" si="55"/>
        <v>24</v>
      </c>
    </row>
    <row r="51" spans="1:44" s="14" customFormat="1" ht="12.75">
      <c r="A51" s="50"/>
      <c r="B51" s="50"/>
      <c r="C51" s="50">
        <v>3</v>
      </c>
      <c r="D51" s="51">
        <v>8</v>
      </c>
      <c r="E51" s="51">
        <v>2</v>
      </c>
      <c r="F51" s="64" t="s">
        <v>169</v>
      </c>
      <c r="G51" s="52">
        <v>3</v>
      </c>
      <c r="H51" s="53">
        <f t="shared" si="56"/>
        <v>0.35</v>
      </c>
      <c r="I51" s="53">
        <f t="shared" si="57"/>
        <v>2</v>
      </c>
      <c r="J51" s="53">
        <f t="shared" si="58"/>
        <v>0.7</v>
      </c>
      <c r="K51" s="53">
        <f t="shared" si="38"/>
        <v>2540.375</v>
      </c>
      <c r="L51" s="53">
        <f t="shared" si="59"/>
        <v>577.25</v>
      </c>
      <c r="M51" s="53">
        <f t="shared" si="39"/>
        <v>2545.55</v>
      </c>
      <c r="N51" s="54">
        <f t="shared" si="40"/>
        <v>577.325</v>
      </c>
      <c r="O51" s="54">
        <f t="shared" si="60"/>
        <v>5.175</v>
      </c>
      <c r="P51" s="53">
        <f t="shared" si="61"/>
        <v>18.6</v>
      </c>
      <c r="Q51" s="54">
        <f t="shared" si="41"/>
        <v>0.07500000000004547</v>
      </c>
      <c r="R51" s="53">
        <f t="shared" si="62"/>
        <v>582.5</v>
      </c>
      <c r="S51" s="54">
        <f t="shared" si="42"/>
        <v>8.12887099116359</v>
      </c>
      <c r="T51" s="54">
        <f t="shared" si="36"/>
        <v>584.25</v>
      </c>
      <c r="U51" s="54">
        <f t="shared" si="43"/>
        <v>188.0013063137655</v>
      </c>
      <c r="V51" s="53">
        <f t="shared" si="63"/>
        <v>2733.1</v>
      </c>
      <c r="W51" s="53">
        <f t="shared" si="44"/>
        <v>611</v>
      </c>
      <c r="X51" s="54">
        <f t="shared" si="45"/>
        <v>26.85</v>
      </c>
      <c r="Y51" s="54">
        <f t="shared" si="46"/>
        <v>42.17588137444297</v>
      </c>
      <c r="Z51" s="53">
        <f t="shared" si="64"/>
        <v>750</v>
      </c>
      <c r="AA51" s="53">
        <f t="shared" si="47"/>
        <v>139</v>
      </c>
      <c r="AB51" s="54">
        <f t="shared" si="37"/>
        <v>320.6676940385484</v>
      </c>
      <c r="AC51" s="53">
        <f t="shared" si="65"/>
        <v>2787.3</v>
      </c>
      <c r="AD51" s="53">
        <f t="shared" si="66"/>
        <v>1070.4</v>
      </c>
      <c r="AE51" s="53">
        <f t="shared" si="48"/>
        <v>14.25</v>
      </c>
      <c r="AF51" s="53">
        <f t="shared" si="67"/>
        <v>1076</v>
      </c>
      <c r="AG51" s="54">
        <f t="shared" si="49"/>
        <v>22.383847656827275</v>
      </c>
      <c r="AH51" s="54">
        <f t="shared" si="50"/>
        <v>405.69116332501</v>
      </c>
      <c r="AI51" s="53">
        <f t="shared" si="51"/>
        <v>3192.9</v>
      </c>
      <c r="AJ51" s="53">
        <f t="shared" si="52"/>
        <v>1100.4</v>
      </c>
      <c r="AK51" s="54">
        <f t="shared" si="53"/>
        <v>24.35</v>
      </c>
      <c r="AL51" s="300">
        <v>189.4516</v>
      </c>
      <c r="AM51" s="53">
        <v>2</v>
      </c>
      <c r="AN51" s="92">
        <f t="shared" si="69"/>
        <v>22</v>
      </c>
      <c r="AO51" s="53">
        <f t="shared" si="68"/>
        <v>0.51</v>
      </c>
      <c r="AP51" s="55">
        <f t="shared" si="54"/>
        <v>1356.6853636997578</v>
      </c>
      <c r="AQ51" s="100">
        <v>44</v>
      </c>
      <c r="AR51" s="14">
        <f t="shared" si="55"/>
        <v>24</v>
      </c>
    </row>
    <row r="52" spans="1:44" s="14" customFormat="1" ht="12.75">
      <c r="A52" s="69"/>
      <c r="B52" s="69">
        <v>3</v>
      </c>
      <c r="C52" s="69">
        <v>2</v>
      </c>
      <c r="D52" s="70">
        <v>9</v>
      </c>
      <c r="E52" s="70">
        <v>1</v>
      </c>
      <c r="F52" s="71" t="s">
        <v>172</v>
      </c>
      <c r="G52" s="71">
        <v>1</v>
      </c>
      <c r="H52" s="72">
        <f t="shared" si="56"/>
        <v>0.35</v>
      </c>
      <c r="I52" s="72">
        <f t="shared" si="57"/>
        <v>2</v>
      </c>
      <c r="J52" s="72">
        <f t="shared" si="58"/>
        <v>0.7</v>
      </c>
      <c r="K52" s="72">
        <f t="shared" si="38"/>
        <v>2683.9757</v>
      </c>
      <c r="L52" s="72">
        <f t="shared" si="59"/>
        <v>577.25</v>
      </c>
      <c r="M52" s="72">
        <f t="shared" si="39"/>
        <v>2689.1507</v>
      </c>
      <c r="N52" s="73">
        <f t="shared" si="40"/>
        <v>577.325</v>
      </c>
      <c r="O52" s="73">
        <f t="shared" si="60"/>
        <v>5.175</v>
      </c>
      <c r="P52" s="72">
        <f t="shared" si="61"/>
        <v>18.6</v>
      </c>
      <c r="Q52" s="73">
        <f t="shared" si="41"/>
        <v>0.07500000000004547</v>
      </c>
      <c r="R52" s="72">
        <f t="shared" si="62"/>
        <v>582.5</v>
      </c>
      <c r="S52" s="73">
        <f t="shared" si="42"/>
        <v>8.12887099116359</v>
      </c>
      <c r="T52" s="73">
        <f t="shared" si="36"/>
        <v>583.55</v>
      </c>
      <c r="U52" s="73">
        <f t="shared" si="43"/>
        <v>43.95487425178213</v>
      </c>
      <c r="V52" s="72">
        <f t="shared" si="63"/>
        <v>2733.1</v>
      </c>
      <c r="W52" s="72">
        <f t="shared" si="44"/>
        <v>611</v>
      </c>
      <c r="X52" s="73">
        <f t="shared" si="45"/>
        <v>27.55</v>
      </c>
      <c r="Y52" s="73">
        <f t="shared" si="46"/>
        <v>43.2754388031994</v>
      </c>
      <c r="Z52" s="72">
        <f t="shared" si="64"/>
        <v>750</v>
      </c>
      <c r="AA52" s="72">
        <f t="shared" si="47"/>
        <v>139</v>
      </c>
      <c r="AB52" s="73">
        <f t="shared" si="37"/>
        <v>320.66769403854835</v>
      </c>
      <c r="AC52" s="72">
        <f t="shared" si="65"/>
        <v>2787.3</v>
      </c>
      <c r="AD52" s="72">
        <f t="shared" si="66"/>
        <v>1070.4</v>
      </c>
      <c r="AE52" s="72">
        <f t="shared" si="48"/>
        <v>13.55</v>
      </c>
      <c r="AF52" s="72">
        <f t="shared" si="67"/>
        <v>1076</v>
      </c>
      <c r="AG52" s="73">
        <f t="shared" si="49"/>
        <v>21.284290228070848</v>
      </c>
      <c r="AH52" s="73">
        <f t="shared" si="50"/>
        <v>405.69116332501</v>
      </c>
      <c r="AI52" s="72">
        <f t="shared" si="51"/>
        <v>3192.9</v>
      </c>
      <c r="AJ52" s="72">
        <f t="shared" si="52"/>
        <v>1100.4</v>
      </c>
      <c r="AK52" s="73">
        <f t="shared" si="53"/>
        <v>25.05</v>
      </c>
      <c r="AL52" s="299">
        <v>201.7113</v>
      </c>
      <c r="AM52" s="72">
        <v>1</v>
      </c>
      <c r="AN52" s="92">
        <f t="shared" si="69"/>
        <v>66</v>
      </c>
      <c r="AO52" s="72">
        <f t="shared" si="68"/>
        <v>0.51</v>
      </c>
      <c r="AP52" s="75">
        <f t="shared" si="54"/>
        <v>1268.8986316377743</v>
      </c>
      <c r="AQ52" s="99">
        <v>45</v>
      </c>
      <c r="AR52" s="14">
        <f t="shared" si="55"/>
        <v>8</v>
      </c>
    </row>
    <row r="53" spans="1:44" s="14" customFormat="1" ht="13.5" thickBot="1">
      <c r="A53" s="56"/>
      <c r="B53" s="56"/>
      <c r="C53" s="56">
        <v>1</v>
      </c>
      <c r="D53" s="57">
        <v>9</v>
      </c>
      <c r="E53" s="57">
        <v>2</v>
      </c>
      <c r="F53" s="58" t="s">
        <v>173</v>
      </c>
      <c r="G53" s="58">
        <v>2</v>
      </c>
      <c r="H53" s="59">
        <f t="shared" si="56"/>
        <v>0.35</v>
      </c>
      <c r="I53" s="59">
        <f t="shared" si="57"/>
        <v>2</v>
      </c>
      <c r="J53" s="59">
        <f t="shared" si="58"/>
        <v>0.7</v>
      </c>
      <c r="K53" s="59">
        <f t="shared" si="38"/>
        <v>2696.2257</v>
      </c>
      <c r="L53" s="59">
        <f t="shared" si="59"/>
        <v>577.25</v>
      </c>
      <c r="M53" s="59">
        <f t="shared" si="39"/>
        <v>2701.4007</v>
      </c>
      <c r="N53" s="60">
        <f t="shared" si="40"/>
        <v>577.325</v>
      </c>
      <c r="O53" s="60">
        <f t="shared" si="60"/>
        <v>5.175</v>
      </c>
      <c r="P53" s="59">
        <f t="shared" si="61"/>
        <v>18.6</v>
      </c>
      <c r="Q53" s="60">
        <f t="shared" si="41"/>
        <v>0.07500000000004547</v>
      </c>
      <c r="R53" s="59">
        <f t="shared" si="62"/>
        <v>582.5</v>
      </c>
      <c r="S53" s="60">
        <f t="shared" si="42"/>
        <v>8.12887099116359</v>
      </c>
      <c r="T53" s="60">
        <f t="shared" si="36"/>
        <v>582.85</v>
      </c>
      <c r="U53" s="60">
        <f t="shared" si="43"/>
        <v>31.707027935301426</v>
      </c>
      <c r="V53" s="59">
        <f t="shared" si="63"/>
        <v>2733.1</v>
      </c>
      <c r="W53" s="59">
        <f t="shared" si="44"/>
        <v>611</v>
      </c>
      <c r="X53" s="60">
        <f t="shared" si="45"/>
        <v>28.25</v>
      </c>
      <c r="Y53" s="60">
        <f t="shared" si="46"/>
        <v>44.374996231955826</v>
      </c>
      <c r="Z53" s="59">
        <f t="shared" si="64"/>
        <v>750</v>
      </c>
      <c r="AA53" s="59">
        <f t="shared" si="47"/>
        <v>139</v>
      </c>
      <c r="AB53" s="60">
        <f>SQRT((POWER((AD53-Z53),2))+(POWER(((AC53-AE53)-(V53+X53)),2)))</f>
        <v>320.6676940385484</v>
      </c>
      <c r="AC53" s="59">
        <f t="shared" si="65"/>
        <v>2787.3</v>
      </c>
      <c r="AD53" s="59">
        <f t="shared" si="66"/>
        <v>1070.4</v>
      </c>
      <c r="AE53" s="59">
        <f t="shared" si="48"/>
        <v>12.85</v>
      </c>
      <c r="AF53" s="59">
        <f t="shared" si="67"/>
        <v>1076</v>
      </c>
      <c r="AG53" s="60">
        <f t="shared" si="49"/>
        <v>20.18473279931442</v>
      </c>
      <c r="AH53" s="60">
        <f t="shared" si="50"/>
        <v>405.69116332501</v>
      </c>
      <c r="AI53" s="59">
        <f t="shared" si="51"/>
        <v>3192.9</v>
      </c>
      <c r="AJ53" s="59">
        <f t="shared" si="52"/>
        <v>1100.4</v>
      </c>
      <c r="AK53" s="60">
        <f t="shared" si="53"/>
        <v>25.75</v>
      </c>
      <c r="AL53" s="301">
        <v>201.9316</v>
      </c>
      <c r="AM53" s="59">
        <v>2</v>
      </c>
      <c r="AN53" s="59">
        <f t="shared" si="69"/>
        <v>22</v>
      </c>
      <c r="AO53" s="59">
        <f t="shared" si="68"/>
        <v>0.51</v>
      </c>
      <c r="AP53" s="61">
        <f t="shared" si="54"/>
        <v>1212.8710853212935</v>
      </c>
      <c r="AQ53" s="101">
        <v>46</v>
      </c>
      <c r="AR53" s="14">
        <f t="shared" si="55"/>
        <v>16</v>
      </c>
    </row>
    <row r="54" spans="1:44" s="87" customFormat="1" ht="12.75">
      <c r="A54" s="83"/>
      <c r="B54" s="83"/>
      <c r="C54" s="83"/>
      <c r="D54" s="83"/>
      <c r="E54" s="83"/>
      <c r="F54" s="83" t="s">
        <v>147</v>
      </c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5"/>
      <c r="R54" s="84"/>
      <c r="S54" s="85"/>
      <c r="T54" s="85"/>
      <c r="U54" s="85"/>
      <c r="V54" s="84"/>
      <c r="W54" s="84"/>
      <c r="X54" s="84"/>
      <c r="Y54" s="85"/>
      <c r="Z54" s="84"/>
      <c r="AA54" s="84"/>
      <c r="AB54" s="85"/>
      <c r="AC54" s="84"/>
      <c r="AD54" s="84"/>
      <c r="AE54" s="84"/>
      <c r="AF54" s="84"/>
      <c r="AG54" s="85"/>
      <c r="AH54" s="85"/>
      <c r="AI54" s="84"/>
      <c r="AJ54" s="84"/>
      <c r="AK54" s="84"/>
      <c r="AL54" s="84"/>
      <c r="AM54" s="84"/>
      <c r="AN54" s="84"/>
      <c r="AO54" s="84"/>
      <c r="AP54" s="86"/>
      <c r="AQ54" s="83"/>
      <c r="AR54" s="84">
        <f>SUM(AR31:AR53)</f>
        <v>528</v>
      </c>
    </row>
    <row r="55" spans="1:3" ht="18.75" thickBot="1">
      <c r="A55" s="28"/>
      <c r="B55" s="28"/>
      <c r="C55" s="28" t="s">
        <v>53</v>
      </c>
    </row>
    <row r="56" spans="1:43" s="36" customFormat="1" ht="106.5" customHeight="1" thickBot="1">
      <c r="A56" s="38" t="str">
        <f>A2</f>
        <v>PPF1-3 PCBs</v>
      </c>
      <c r="B56" s="38" t="str">
        <f>B2</f>
        <v>PPF1-2 PCBs</v>
      </c>
      <c r="C56" s="38" t="str">
        <f>C30</f>
        <v>Tape # (bottom of stack up)</v>
      </c>
      <c r="D56" s="39" t="str">
        <f aca="true" t="shared" si="70" ref="D56:AQ56">D30</f>
        <v>Disc</v>
      </c>
      <c r="E56" s="39" t="str">
        <f t="shared" si="70"/>
        <v>PPF1 pos'n Lx</v>
      </c>
      <c r="F56" s="39" t="s">
        <v>145</v>
      </c>
      <c r="G56" s="39" t="str">
        <f t="shared" si="70"/>
        <v>No. of tapes</v>
      </c>
      <c r="H56" s="39" t="str">
        <f t="shared" si="70"/>
        <v>Tape thickness (mm)</v>
      </c>
      <c r="I56" s="39" t="str">
        <f t="shared" si="70"/>
        <v>Packing factor</v>
      </c>
      <c r="J56" s="39" t="str">
        <f t="shared" si="70"/>
        <v>Packing factor = 1.5x</v>
      </c>
      <c r="K56" s="39" t="str">
        <f t="shared" si="70"/>
        <v>PCB Z (mm)</v>
      </c>
      <c r="L56" s="39" t="str">
        <f t="shared" si="70"/>
        <v>PCB R (mm)</v>
      </c>
      <c r="M56" s="39" t="str">
        <f t="shared" si="70"/>
        <v>B1 Z (mm)</v>
      </c>
      <c r="N56" s="39" t="str">
        <f t="shared" si="70"/>
        <v>B1 R (mm)</v>
      </c>
      <c r="O56" s="39" t="str">
        <f t="shared" si="70"/>
        <v>B1 r (min 5) (mm)</v>
      </c>
      <c r="P56" s="40" t="str">
        <f t="shared" si="70"/>
        <v>1a: Length to solder pad + excess (mm)</v>
      </c>
      <c r="Q56" s="41" t="str">
        <f t="shared" si="70"/>
        <v>1: Tape length from PCB to bend (mm)</v>
      </c>
      <c r="R56" s="39" t="str">
        <f t="shared" si="70"/>
        <v>Cylinder R (mm) </v>
      </c>
      <c r="S56" s="41" t="str">
        <f t="shared" si="70"/>
        <v>2: Tape length around B1 (90deg) (mm)</v>
      </c>
      <c r="T56" s="88" t="str">
        <f t="shared" si="70"/>
        <v>Eventual horizontal tape run R (mm)</v>
      </c>
      <c r="U56" s="41" t="str">
        <f t="shared" si="70"/>
        <v>3: Length to next bend (+ 0.45/disc - STFT) (mm)</v>
      </c>
      <c r="V56" s="39" t="str">
        <f t="shared" si="70"/>
        <v>B2 Z (mm)</v>
      </c>
      <c r="W56" s="39" t="str">
        <f t="shared" si="70"/>
        <v>B2 R (mm)</v>
      </c>
      <c r="X56" s="39" t="str">
        <f t="shared" si="70"/>
        <v>B2 r (min 12.5) (mm)</v>
      </c>
      <c r="Y56" s="41" t="str">
        <f t="shared" si="70"/>
        <v>4: Tape length around B2 (90deg) (mm)</v>
      </c>
      <c r="Z56" s="39" t="str">
        <f t="shared" si="70"/>
        <v>STFT exit R (mm)</v>
      </c>
      <c r="AA56" s="40" t="str">
        <f t="shared" si="70"/>
        <v>5: length up to STFT exit (mm)</v>
      </c>
      <c r="AB56" s="41" t="str">
        <f t="shared" si="70"/>
        <v>6: length to next bend (mm)</v>
      </c>
      <c r="AC56" s="39" t="str">
        <f t="shared" si="70"/>
        <v>B3 Z (mm)</v>
      </c>
      <c r="AD56" s="39" t="str">
        <f t="shared" si="70"/>
        <v>B3 R (mm)</v>
      </c>
      <c r="AE56" s="39" t="str">
        <f t="shared" si="70"/>
        <v>B3 r (min 12.5) (mm)</v>
      </c>
      <c r="AF56" s="39" t="str">
        <f t="shared" si="70"/>
        <v>Cable tray R (mm)</v>
      </c>
      <c r="AG56" s="41" t="str">
        <f t="shared" si="70"/>
        <v>7: length around B3 (90deg) (mm)</v>
      </c>
      <c r="AH56" s="41" t="str">
        <f t="shared" si="70"/>
        <v>8: Length to B4 (mm)</v>
      </c>
      <c r="AI56" s="39" t="str">
        <f t="shared" si="70"/>
        <v>B4 Z (mm)</v>
      </c>
      <c r="AJ56" s="39" t="str">
        <f t="shared" si="70"/>
        <v>B4 R (mm)</v>
      </c>
      <c r="AK56" s="39" t="str">
        <f t="shared" si="70"/>
        <v>B4 r (min 10) (mm)</v>
      </c>
      <c r="AL56" s="40" t="str">
        <f t="shared" si="70"/>
        <v>9: To PPF1 from CAD model (mm)</v>
      </c>
      <c r="AM56" s="39" t="str">
        <f t="shared" si="70"/>
        <v>PPF1 position</v>
      </c>
      <c r="AN56" s="40" t="str">
        <f t="shared" si="70"/>
        <v>10: Board edge - pad + excess (mm)</v>
      </c>
      <c r="AO56" s="40" t="str">
        <f t="shared" si="70"/>
        <v>11: Phi shift compensation (P0e1:3 ) (mm)</v>
      </c>
      <c r="AP56" s="39" t="str">
        <f t="shared" si="70"/>
        <v>Total length (mm)</v>
      </c>
      <c r="AQ56" s="42" t="str">
        <f t="shared" si="70"/>
        <v>Tape  Type</v>
      </c>
    </row>
    <row r="57" spans="1:44" s="14" customFormat="1" ht="12.75">
      <c r="A57" s="43"/>
      <c r="B57" s="43">
        <v>3</v>
      </c>
      <c r="C57" s="43">
        <v>23</v>
      </c>
      <c r="D57" s="44">
        <v>1</v>
      </c>
      <c r="E57" s="44">
        <v>1</v>
      </c>
      <c r="F57" s="45" t="s">
        <v>174</v>
      </c>
      <c r="G57" s="45">
        <v>3</v>
      </c>
      <c r="H57" s="81">
        <f>H31</f>
        <v>0.35</v>
      </c>
      <c r="I57" s="81">
        <f>I31</f>
        <v>2</v>
      </c>
      <c r="J57" s="81">
        <f>H57*I57</f>
        <v>0.7</v>
      </c>
      <c r="K57" s="81">
        <f>K31</f>
        <v>876.925</v>
      </c>
      <c r="L57" s="81">
        <f>L31</f>
        <v>577.25</v>
      </c>
      <c r="M57" s="47">
        <f>K57+O57</f>
        <v>882.0999999999999</v>
      </c>
      <c r="N57" s="48">
        <f>R57-O57</f>
        <v>577.325</v>
      </c>
      <c r="O57" s="48">
        <f>O3</f>
        <v>5.175</v>
      </c>
      <c r="P57" s="81">
        <f>P31</f>
        <v>18.6</v>
      </c>
      <c r="Q57" s="48">
        <f>N57-L57</f>
        <v>0.07500000000004547</v>
      </c>
      <c r="R57" s="81">
        <f>R31</f>
        <v>582.5</v>
      </c>
      <c r="S57" s="82">
        <f>(O57*2)*PI()*(90/360)</f>
        <v>8.12887099116359</v>
      </c>
      <c r="T57" s="82">
        <f aca="true" t="shared" si="71" ref="T57:T79">R57+((C57*J57)-(J57/2))</f>
        <v>598.25</v>
      </c>
      <c r="U57" s="48">
        <f>SQRT((POWER((V57-(K57+O57)),2))+(POWER(T57-(R57+(E57*J57)-(J57/2)),2)))+((9-D57)*0.45)</f>
        <v>1854.6640615602691</v>
      </c>
      <c r="V57" s="81">
        <f>V31</f>
        <v>2733.1</v>
      </c>
      <c r="W57" s="81">
        <f>W31</f>
        <v>611</v>
      </c>
      <c r="X57" s="48">
        <f>12.5+((23-C57)*J57)+(J57/2)</f>
        <v>12.85</v>
      </c>
      <c r="Y57" s="82">
        <f>(X57*2)*PI()*(90/360)</f>
        <v>20.18473279931442</v>
      </c>
      <c r="Z57" s="81">
        <f>Z31</f>
        <v>750</v>
      </c>
      <c r="AA57" s="81">
        <f>Z57-W57</f>
        <v>139</v>
      </c>
      <c r="AB57" s="82">
        <f aca="true" t="shared" si="72" ref="AB57:AB78">SQRT((POWER((AD57-Z57),2))+(POWER(((AC57-AE57)-(V57+X57)),2)))</f>
        <v>320.6676940385484</v>
      </c>
      <c r="AC57" s="81">
        <f>AC31</f>
        <v>2787.3</v>
      </c>
      <c r="AD57" s="81">
        <f>AD31</f>
        <v>1070.4</v>
      </c>
      <c r="AE57" s="81">
        <f>12.5+(C57*J57)-(J57/2)</f>
        <v>28.249999999999996</v>
      </c>
      <c r="AF57" s="81">
        <f>AF31</f>
        <v>1076</v>
      </c>
      <c r="AG57" s="82">
        <f>(AE57*2)*PI()*(90/360)</f>
        <v>44.37499623195582</v>
      </c>
      <c r="AH57" s="82">
        <f>SQRT((POWER((AI57-AC57),2))+(POWER(((AJ57-AK57)-(AD57+AE57)),2)))</f>
        <v>405.69116332501</v>
      </c>
      <c r="AI57" s="81">
        <f>AI31</f>
        <v>3192.9</v>
      </c>
      <c r="AJ57" s="81">
        <f>AJ31</f>
        <v>1100.4</v>
      </c>
      <c r="AK57" s="48">
        <f>10+((23-C57)*J57)+(J57/2)</f>
        <v>10.35</v>
      </c>
      <c r="AL57" s="296">
        <v>93.2046</v>
      </c>
      <c r="AM57" s="47">
        <v>1</v>
      </c>
      <c r="AN57" s="81">
        <f>AN31</f>
        <v>66</v>
      </c>
      <c r="AO57" s="81">
        <v>6.62</v>
      </c>
      <c r="AP57" s="49">
        <f>P57+Q57+S57+U57+Y57+AA57+AB57+AG57+AH57+AL57+AN57+AO57</f>
        <v>2977.211118946261</v>
      </c>
      <c r="AQ57" s="97">
        <v>47</v>
      </c>
      <c r="AR57" s="14">
        <f>G57*4*2</f>
        <v>24</v>
      </c>
    </row>
    <row r="58" spans="1:44" s="14" customFormat="1" ht="12.75">
      <c r="A58" s="62"/>
      <c r="B58" s="62"/>
      <c r="C58" s="62">
        <v>22</v>
      </c>
      <c r="D58" s="63">
        <v>1</v>
      </c>
      <c r="E58" s="63">
        <v>2</v>
      </c>
      <c r="F58" s="64" t="s">
        <v>175</v>
      </c>
      <c r="G58" s="64">
        <v>3</v>
      </c>
      <c r="H58" s="65">
        <f>H57</f>
        <v>0.35</v>
      </c>
      <c r="I58" s="65">
        <f>I57</f>
        <v>2</v>
      </c>
      <c r="J58" s="65">
        <f>H58*I58</f>
        <v>0.7</v>
      </c>
      <c r="K58" s="65">
        <f aca="true" t="shared" si="73" ref="K58:K79">K32</f>
        <v>889.175</v>
      </c>
      <c r="L58" s="65">
        <f>L57</f>
        <v>577.25</v>
      </c>
      <c r="M58" s="65">
        <f aca="true" t="shared" si="74" ref="M58:M79">K58+O58</f>
        <v>894.3499999999999</v>
      </c>
      <c r="N58" s="66">
        <f aca="true" t="shared" si="75" ref="N58:N79">R58-O58</f>
        <v>577.325</v>
      </c>
      <c r="O58" s="66">
        <f>O57</f>
        <v>5.175</v>
      </c>
      <c r="P58" s="65">
        <f>P57</f>
        <v>18.6</v>
      </c>
      <c r="Q58" s="66">
        <f aca="true" t="shared" si="76" ref="Q58:Q79">N58-L58</f>
        <v>0.07500000000004547</v>
      </c>
      <c r="R58" s="65">
        <f>R57</f>
        <v>582.5</v>
      </c>
      <c r="S58" s="66">
        <f aca="true" t="shared" si="77" ref="S58:S79">(O58*2)*PI()*(90/360)</f>
        <v>8.12887099116359</v>
      </c>
      <c r="T58" s="66">
        <f t="shared" si="71"/>
        <v>597.55</v>
      </c>
      <c r="U58" s="66">
        <f aca="true" t="shared" si="78" ref="U58:U79">SQRT((POWER((V58-(K58+O58)),2))+(POWER(T58-(R58+(E58*J58)-(J58/2)),2)))+((9-D58)*0.45)</f>
        <v>1842.4032963044197</v>
      </c>
      <c r="V58" s="65">
        <f>V57</f>
        <v>2733.1</v>
      </c>
      <c r="W58" s="65">
        <f aca="true" t="shared" si="79" ref="W58:W79">W57</f>
        <v>611</v>
      </c>
      <c r="X58" s="66">
        <f aca="true" t="shared" si="80" ref="X58:X79">12.5+((23-C58)*J58)+(J58/2)</f>
        <v>13.549999999999999</v>
      </c>
      <c r="Y58" s="66">
        <f aca="true" t="shared" si="81" ref="Y58:Y79">(X58*2)*PI()*(90/360)</f>
        <v>21.284290228070848</v>
      </c>
      <c r="Z58" s="65">
        <f>Z57</f>
        <v>750</v>
      </c>
      <c r="AA58" s="65">
        <f aca="true" t="shared" si="82" ref="AA58:AA79">Z58-W58</f>
        <v>139</v>
      </c>
      <c r="AB58" s="66">
        <f t="shared" si="72"/>
        <v>320.66769403854835</v>
      </c>
      <c r="AC58" s="65">
        <f>AC57</f>
        <v>2787.3</v>
      </c>
      <c r="AD58" s="65">
        <f>AD57</f>
        <v>1070.4</v>
      </c>
      <c r="AE58" s="65">
        <f aca="true" t="shared" si="83" ref="AE58:AE79">12.5+(C58*J58)-(J58/2)</f>
        <v>27.549999999999997</v>
      </c>
      <c r="AF58" s="65">
        <f>AF57</f>
        <v>1076</v>
      </c>
      <c r="AG58" s="66">
        <f aca="true" t="shared" si="84" ref="AG58:AG79">(AE58*2)*PI()*(90/360)</f>
        <v>43.27543880319939</v>
      </c>
      <c r="AH58" s="66">
        <f aca="true" t="shared" si="85" ref="AH58:AH79">SQRT((POWER((AI58-AC58),2))+(POWER(((AJ58-AK58)-(AD58+AE58)),2)))</f>
        <v>405.69116332501</v>
      </c>
      <c r="AI58" s="65">
        <f aca="true" t="shared" si="86" ref="AI58:AI79">AI57</f>
        <v>3192.9</v>
      </c>
      <c r="AJ58" s="65">
        <f aca="true" t="shared" si="87" ref="AJ58:AJ79">AJ57</f>
        <v>1100.4</v>
      </c>
      <c r="AK58" s="66">
        <f aca="true" t="shared" si="88" ref="AK58:AK79">10+((23-C58)*J58)+(J58/2)</f>
        <v>11.049999999999999</v>
      </c>
      <c r="AL58" s="298">
        <v>93.6718</v>
      </c>
      <c r="AM58" s="65">
        <v>2</v>
      </c>
      <c r="AN58" s="65">
        <f aca="true" t="shared" si="89" ref="AN58:AN79">AN32</f>
        <v>22</v>
      </c>
      <c r="AO58" s="65">
        <f>AO57</f>
        <v>6.62</v>
      </c>
      <c r="AP58" s="68">
        <f aca="true" t="shared" si="90" ref="AP58:AP79">P58+Q58+S58+U58+Y58+AA58+AB58+AG58+AH58+AL58+AN58+AO58</f>
        <v>2921.417553690412</v>
      </c>
      <c r="AQ58" s="98">
        <v>48</v>
      </c>
      <c r="AR58" s="14">
        <f aca="true" t="shared" si="91" ref="AR58:AR79">G58*4*2</f>
        <v>24</v>
      </c>
    </row>
    <row r="59" spans="1:44" s="14" customFormat="1" ht="12.75">
      <c r="A59" s="69">
        <v>2</v>
      </c>
      <c r="B59" s="69">
        <v>1</v>
      </c>
      <c r="C59" s="69">
        <v>21</v>
      </c>
      <c r="D59" s="70">
        <v>2</v>
      </c>
      <c r="E59" s="70">
        <v>1</v>
      </c>
      <c r="F59" s="71" t="s">
        <v>176</v>
      </c>
      <c r="G59" s="71">
        <v>3</v>
      </c>
      <c r="H59" s="72">
        <f aca="true" t="shared" si="92" ref="H59:H79">H58</f>
        <v>0.35</v>
      </c>
      <c r="I59" s="72">
        <f aca="true" t="shared" si="93" ref="I59:I79">I58</f>
        <v>2</v>
      </c>
      <c r="J59" s="72">
        <f aca="true" t="shared" si="94" ref="J59:J79">H59*I59</f>
        <v>0.7</v>
      </c>
      <c r="K59" s="72">
        <f t="shared" si="73"/>
        <v>957.125</v>
      </c>
      <c r="L59" s="72">
        <f aca="true" t="shared" si="95" ref="L59:L79">L58</f>
        <v>577.25</v>
      </c>
      <c r="M59" s="72">
        <f t="shared" si="74"/>
        <v>962.3</v>
      </c>
      <c r="N59" s="73">
        <f t="shared" si="75"/>
        <v>577.325</v>
      </c>
      <c r="O59" s="73">
        <f aca="true" t="shared" si="96" ref="O59:O79">O58</f>
        <v>5.175</v>
      </c>
      <c r="P59" s="72">
        <f aca="true" t="shared" si="97" ref="P59:P79">P58</f>
        <v>18.6</v>
      </c>
      <c r="Q59" s="73">
        <f t="shared" si="76"/>
        <v>0.07500000000004547</v>
      </c>
      <c r="R59" s="72">
        <f aca="true" t="shared" si="98" ref="R59:R79">R58</f>
        <v>582.5</v>
      </c>
      <c r="S59" s="73">
        <f t="shared" si="77"/>
        <v>8.12887099116359</v>
      </c>
      <c r="T59" s="73">
        <f t="shared" si="71"/>
        <v>596.85</v>
      </c>
      <c r="U59" s="73">
        <f t="shared" si="78"/>
        <v>1774.0053413534376</v>
      </c>
      <c r="V59" s="72">
        <f aca="true" t="shared" si="99" ref="V59:V79">V58</f>
        <v>2733.1</v>
      </c>
      <c r="W59" s="72">
        <f t="shared" si="79"/>
        <v>611</v>
      </c>
      <c r="X59" s="73">
        <f t="shared" si="80"/>
        <v>14.25</v>
      </c>
      <c r="Y59" s="73">
        <f t="shared" si="81"/>
        <v>22.383847656827275</v>
      </c>
      <c r="Z59" s="72">
        <f aca="true" t="shared" si="100" ref="Z59:Z79">Z58</f>
        <v>750</v>
      </c>
      <c r="AA59" s="72">
        <f t="shared" si="82"/>
        <v>139</v>
      </c>
      <c r="AB59" s="73">
        <f t="shared" si="72"/>
        <v>320.6676940385484</v>
      </c>
      <c r="AC59" s="72">
        <f aca="true" t="shared" si="101" ref="AC59:AC79">AC58</f>
        <v>2787.3</v>
      </c>
      <c r="AD59" s="72">
        <f aca="true" t="shared" si="102" ref="AD59:AD79">AD58</f>
        <v>1070.4</v>
      </c>
      <c r="AE59" s="72">
        <f t="shared" si="83"/>
        <v>26.849999999999998</v>
      </c>
      <c r="AF59" s="72">
        <f aca="true" t="shared" si="103" ref="AF59:AF79">AF58</f>
        <v>1076</v>
      </c>
      <c r="AG59" s="73">
        <f t="shared" si="84"/>
        <v>42.175881374442966</v>
      </c>
      <c r="AH59" s="73">
        <f t="shared" si="85"/>
        <v>405.69116332501</v>
      </c>
      <c r="AI59" s="72">
        <f t="shared" si="86"/>
        <v>3192.9</v>
      </c>
      <c r="AJ59" s="72">
        <f t="shared" si="87"/>
        <v>1100.4</v>
      </c>
      <c r="AK59" s="73">
        <f t="shared" si="88"/>
        <v>11.75</v>
      </c>
      <c r="AL59" s="299">
        <v>94.644</v>
      </c>
      <c r="AM59" s="72">
        <v>1</v>
      </c>
      <c r="AN59" s="72">
        <f t="shared" si="89"/>
        <v>110</v>
      </c>
      <c r="AO59" s="72">
        <f aca="true" t="shared" si="104" ref="AO59:AO79">AO58</f>
        <v>6.62</v>
      </c>
      <c r="AP59" s="75">
        <f t="shared" si="90"/>
        <v>2941.99179873943</v>
      </c>
      <c r="AQ59" s="99">
        <v>49</v>
      </c>
      <c r="AR59" s="14">
        <f t="shared" si="91"/>
        <v>24</v>
      </c>
    </row>
    <row r="60" spans="1:44" s="14" customFormat="1" ht="12.75">
      <c r="A60" s="50"/>
      <c r="B60" s="50"/>
      <c r="C60" s="50">
        <v>20</v>
      </c>
      <c r="D60" s="51">
        <v>2</v>
      </c>
      <c r="E60" s="51">
        <v>2</v>
      </c>
      <c r="F60" s="52" t="s">
        <v>175</v>
      </c>
      <c r="G60" s="52">
        <v>3</v>
      </c>
      <c r="H60" s="53">
        <f t="shared" si="92"/>
        <v>0.35</v>
      </c>
      <c r="I60" s="53">
        <f t="shared" si="93"/>
        <v>2</v>
      </c>
      <c r="J60" s="53">
        <f t="shared" si="94"/>
        <v>0.7</v>
      </c>
      <c r="K60" s="53">
        <f t="shared" si="73"/>
        <v>969.375</v>
      </c>
      <c r="L60" s="53">
        <f t="shared" si="95"/>
        <v>577.25</v>
      </c>
      <c r="M60" s="53">
        <f t="shared" si="74"/>
        <v>974.55</v>
      </c>
      <c r="N60" s="54">
        <f t="shared" si="75"/>
        <v>577.325</v>
      </c>
      <c r="O60" s="54">
        <f t="shared" si="96"/>
        <v>5.175</v>
      </c>
      <c r="P60" s="53">
        <f t="shared" si="97"/>
        <v>18.6</v>
      </c>
      <c r="Q60" s="54">
        <f t="shared" si="76"/>
        <v>0.07500000000004547</v>
      </c>
      <c r="R60" s="53">
        <f t="shared" si="98"/>
        <v>582.5</v>
      </c>
      <c r="S60" s="54">
        <f t="shared" si="77"/>
        <v>8.12887099116359</v>
      </c>
      <c r="T60" s="54">
        <f t="shared" si="71"/>
        <v>596.15</v>
      </c>
      <c r="U60" s="54">
        <f t="shared" si="78"/>
        <v>1761.7451388821703</v>
      </c>
      <c r="V60" s="53">
        <f t="shared" si="99"/>
        <v>2733.1</v>
      </c>
      <c r="W60" s="53">
        <f t="shared" si="79"/>
        <v>611</v>
      </c>
      <c r="X60" s="54">
        <f t="shared" si="80"/>
        <v>14.95</v>
      </c>
      <c r="Y60" s="54">
        <f t="shared" si="81"/>
        <v>23.4834050855837</v>
      </c>
      <c r="Z60" s="53">
        <f t="shared" si="100"/>
        <v>750</v>
      </c>
      <c r="AA60" s="53">
        <f t="shared" si="82"/>
        <v>139</v>
      </c>
      <c r="AB60" s="54">
        <f t="shared" si="72"/>
        <v>320.6676940385484</v>
      </c>
      <c r="AC60" s="53">
        <f t="shared" si="101"/>
        <v>2787.3</v>
      </c>
      <c r="AD60" s="53">
        <f t="shared" si="102"/>
        <v>1070.4</v>
      </c>
      <c r="AE60" s="53">
        <f t="shared" si="83"/>
        <v>26.15</v>
      </c>
      <c r="AF60" s="53">
        <f t="shared" si="103"/>
        <v>1076</v>
      </c>
      <c r="AG60" s="54">
        <f t="shared" si="84"/>
        <v>41.07632394568654</v>
      </c>
      <c r="AH60" s="54">
        <f t="shared" si="85"/>
        <v>405.69116332501</v>
      </c>
      <c r="AI60" s="53">
        <f t="shared" si="86"/>
        <v>3192.9</v>
      </c>
      <c r="AJ60" s="53">
        <f t="shared" si="87"/>
        <v>1100.4</v>
      </c>
      <c r="AK60" s="54">
        <f t="shared" si="88"/>
        <v>12.45</v>
      </c>
      <c r="AL60" s="300">
        <v>95.0639</v>
      </c>
      <c r="AM60" s="53">
        <v>2</v>
      </c>
      <c r="AN60" s="53">
        <f t="shared" si="89"/>
        <v>66</v>
      </c>
      <c r="AO60" s="53">
        <f t="shared" si="104"/>
        <v>6.62</v>
      </c>
      <c r="AP60" s="55">
        <f t="shared" si="90"/>
        <v>2886.1514962681626</v>
      </c>
      <c r="AQ60" s="100">
        <v>50</v>
      </c>
      <c r="AR60" s="14">
        <f t="shared" si="91"/>
        <v>24</v>
      </c>
    </row>
    <row r="61" spans="1:44" s="14" customFormat="1" ht="12.75">
      <c r="A61" s="50"/>
      <c r="B61" s="50"/>
      <c r="C61" s="50">
        <v>19</v>
      </c>
      <c r="D61" s="51">
        <v>2</v>
      </c>
      <c r="E61" s="51">
        <v>3</v>
      </c>
      <c r="F61" s="52" t="s">
        <v>177</v>
      </c>
      <c r="G61" s="52">
        <v>2</v>
      </c>
      <c r="H61" s="53">
        <f t="shared" si="92"/>
        <v>0.35</v>
      </c>
      <c r="I61" s="53">
        <f t="shared" si="93"/>
        <v>2</v>
      </c>
      <c r="J61" s="53">
        <f t="shared" si="94"/>
        <v>0.7</v>
      </c>
      <c r="K61" s="53">
        <f t="shared" si="73"/>
        <v>981.625</v>
      </c>
      <c r="L61" s="53">
        <f t="shared" si="95"/>
        <v>577.25</v>
      </c>
      <c r="M61" s="53">
        <f t="shared" si="74"/>
        <v>986.8</v>
      </c>
      <c r="N61" s="54">
        <f t="shared" si="75"/>
        <v>577.325</v>
      </c>
      <c r="O61" s="54">
        <f t="shared" si="96"/>
        <v>5.175</v>
      </c>
      <c r="P61" s="53">
        <f t="shared" si="97"/>
        <v>18.6</v>
      </c>
      <c r="Q61" s="54">
        <f t="shared" si="76"/>
        <v>0.07500000000004547</v>
      </c>
      <c r="R61" s="53">
        <f t="shared" si="98"/>
        <v>582.5</v>
      </c>
      <c r="S61" s="54">
        <f t="shared" si="77"/>
        <v>8.12887099116359</v>
      </c>
      <c r="T61" s="54">
        <f t="shared" si="71"/>
        <v>595.45</v>
      </c>
      <c r="U61" s="54">
        <f t="shared" si="78"/>
        <v>1749.48591556722</v>
      </c>
      <c r="V61" s="53">
        <f t="shared" si="99"/>
        <v>2733.1</v>
      </c>
      <c r="W61" s="53">
        <f t="shared" si="79"/>
        <v>611</v>
      </c>
      <c r="X61" s="54">
        <f t="shared" si="80"/>
        <v>15.65</v>
      </c>
      <c r="Y61" s="54">
        <f t="shared" si="81"/>
        <v>24.58296251434013</v>
      </c>
      <c r="Z61" s="53">
        <f t="shared" si="100"/>
        <v>750</v>
      </c>
      <c r="AA61" s="53">
        <f t="shared" si="82"/>
        <v>139</v>
      </c>
      <c r="AB61" s="54">
        <f t="shared" si="72"/>
        <v>320.6676940385484</v>
      </c>
      <c r="AC61" s="53">
        <f t="shared" si="101"/>
        <v>2787.3</v>
      </c>
      <c r="AD61" s="53">
        <f t="shared" si="102"/>
        <v>1070.4</v>
      </c>
      <c r="AE61" s="53">
        <f t="shared" si="83"/>
        <v>25.449999999999996</v>
      </c>
      <c r="AF61" s="53">
        <f t="shared" si="103"/>
        <v>1076</v>
      </c>
      <c r="AG61" s="54">
        <f t="shared" si="84"/>
        <v>39.97676651693011</v>
      </c>
      <c r="AH61" s="54">
        <f t="shared" si="85"/>
        <v>405.69116332501</v>
      </c>
      <c r="AI61" s="53">
        <f t="shared" si="86"/>
        <v>3192.9</v>
      </c>
      <c r="AJ61" s="53">
        <f t="shared" si="87"/>
        <v>1100.4</v>
      </c>
      <c r="AK61" s="54">
        <f t="shared" si="88"/>
        <v>13.15</v>
      </c>
      <c r="AL61" s="300">
        <v>95.4845</v>
      </c>
      <c r="AM61" s="53">
        <v>3</v>
      </c>
      <c r="AN61" s="53">
        <f t="shared" si="89"/>
        <v>22</v>
      </c>
      <c r="AO61" s="53">
        <f t="shared" si="104"/>
        <v>6.62</v>
      </c>
      <c r="AP61" s="55">
        <f t="shared" si="90"/>
        <v>2830.3128729532123</v>
      </c>
      <c r="AQ61" s="100">
        <v>51</v>
      </c>
      <c r="AR61" s="14">
        <f t="shared" si="91"/>
        <v>16</v>
      </c>
    </row>
    <row r="62" spans="1:44" s="14" customFormat="1" ht="12.75">
      <c r="A62" s="69">
        <v>2</v>
      </c>
      <c r="B62" s="69">
        <v>1</v>
      </c>
      <c r="C62" s="69">
        <v>18</v>
      </c>
      <c r="D62" s="70">
        <v>3</v>
      </c>
      <c r="E62" s="70">
        <v>1</v>
      </c>
      <c r="F62" s="71" t="s">
        <v>176</v>
      </c>
      <c r="G62" s="71">
        <v>3</v>
      </c>
      <c r="H62" s="72">
        <f t="shared" si="92"/>
        <v>0.35</v>
      </c>
      <c r="I62" s="72">
        <f t="shared" si="93"/>
        <v>2</v>
      </c>
      <c r="J62" s="72">
        <f t="shared" si="94"/>
        <v>0.7</v>
      </c>
      <c r="K62" s="72">
        <f t="shared" si="73"/>
        <v>1114.625</v>
      </c>
      <c r="L62" s="72">
        <f t="shared" si="95"/>
        <v>577.25</v>
      </c>
      <c r="M62" s="72">
        <f t="shared" si="74"/>
        <v>1119.8</v>
      </c>
      <c r="N62" s="73">
        <f t="shared" si="75"/>
        <v>577.325</v>
      </c>
      <c r="O62" s="73">
        <f t="shared" si="96"/>
        <v>5.175</v>
      </c>
      <c r="P62" s="72">
        <f t="shared" si="97"/>
        <v>18.6</v>
      </c>
      <c r="Q62" s="73">
        <f t="shared" si="76"/>
        <v>0.07500000000004547</v>
      </c>
      <c r="R62" s="72">
        <f t="shared" si="98"/>
        <v>582.5</v>
      </c>
      <c r="S62" s="73">
        <f t="shared" si="77"/>
        <v>8.12887099116359</v>
      </c>
      <c r="T62" s="73">
        <f t="shared" si="71"/>
        <v>594.75</v>
      </c>
      <c r="U62" s="73">
        <f t="shared" si="78"/>
        <v>1616.0438877065235</v>
      </c>
      <c r="V62" s="72">
        <f t="shared" si="99"/>
        <v>2733.1</v>
      </c>
      <c r="W62" s="72">
        <f t="shared" si="79"/>
        <v>611</v>
      </c>
      <c r="X62" s="73">
        <f t="shared" si="80"/>
        <v>16.35</v>
      </c>
      <c r="Y62" s="73">
        <f t="shared" si="81"/>
        <v>25.682519943096562</v>
      </c>
      <c r="Z62" s="72">
        <f t="shared" si="100"/>
        <v>750</v>
      </c>
      <c r="AA62" s="72">
        <f t="shared" si="82"/>
        <v>139</v>
      </c>
      <c r="AB62" s="73">
        <f t="shared" si="72"/>
        <v>320.6676940385484</v>
      </c>
      <c r="AC62" s="72">
        <f t="shared" si="101"/>
        <v>2787.3</v>
      </c>
      <c r="AD62" s="72">
        <f t="shared" si="102"/>
        <v>1070.4</v>
      </c>
      <c r="AE62" s="72">
        <f t="shared" si="83"/>
        <v>24.75</v>
      </c>
      <c r="AF62" s="72">
        <f t="shared" si="103"/>
        <v>1076</v>
      </c>
      <c r="AG62" s="73">
        <f t="shared" si="84"/>
        <v>38.87720908817369</v>
      </c>
      <c r="AH62" s="73">
        <f t="shared" si="85"/>
        <v>405.69116332501</v>
      </c>
      <c r="AI62" s="72">
        <f t="shared" si="86"/>
        <v>3192.9</v>
      </c>
      <c r="AJ62" s="72">
        <f t="shared" si="87"/>
        <v>1100.4</v>
      </c>
      <c r="AK62" s="73">
        <f t="shared" si="88"/>
        <v>13.85</v>
      </c>
      <c r="AL62" s="299">
        <v>99.9531</v>
      </c>
      <c r="AM62" s="72">
        <v>1</v>
      </c>
      <c r="AN62" s="72">
        <f t="shared" si="89"/>
        <v>110</v>
      </c>
      <c r="AO62" s="72">
        <f t="shared" si="104"/>
        <v>6.62</v>
      </c>
      <c r="AP62" s="75">
        <f t="shared" si="90"/>
        <v>2789.339445092516</v>
      </c>
      <c r="AQ62" s="99">
        <v>52</v>
      </c>
      <c r="AR62" s="14">
        <f t="shared" si="91"/>
        <v>24</v>
      </c>
    </row>
    <row r="63" spans="1:44" s="14" customFormat="1" ht="12.75">
      <c r="A63" s="50"/>
      <c r="B63" s="50"/>
      <c r="C63" s="50">
        <v>17</v>
      </c>
      <c r="D63" s="51">
        <v>3</v>
      </c>
      <c r="E63" s="51">
        <v>2</v>
      </c>
      <c r="F63" s="52" t="s">
        <v>175</v>
      </c>
      <c r="G63" s="52">
        <v>3</v>
      </c>
      <c r="H63" s="53">
        <f t="shared" si="92"/>
        <v>0.35</v>
      </c>
      <c r="I63" s="53">
        <f t="shared" si="93"/>
        <v>2</v>
      </c>
      <c r="J63" s="53">
        <f t="shared" si="94"/>
        <v>0.7</v>
      </c>
      <c r="K63" s="53">
        <f t="shared" si="73"/>
        <v>1126.875</v>
      </c>
      <c r="L63" s="53">
        <f t="shared" si="95"/>
        <v>577.25</v>
      </c>
      <c r="M63" s="53">
        <f t="shared" si="74"/>
        <v>1132.05</v>
      </c>
      <c r="N63" s="54">
        <f t="shared" si="75"/>
        <v>577.325</v>
      </c>
      <c r="O63" s="54">
        <f t="shared" si="96"/>
        <v>5.175</v>
      </c>
      <c r="P63" s="53">
        <f t="shared" si="97"/>
        <v>18.6</v>
      </c>
      <c r="Q63" s="54">
        <f t="shared" si="76"/>
        <v>0.07500000000004547</v>
      </c>
      <c r="R63" s="53">
        <f t="shared" si="98"/>
        <v>582.5</v>
      </c>
      <c r="S63" s="54">
        <f t="shared" si="77"/>
        <v>8.12887099116359</v>
      </c>
      <c r="T63" s="54">
        <f t="shared" si="71"/>
        <v>594.05</v>
      </c>
      <c r="U63" s="54">
        <f t="shared" si="78"/>
        <v>1603.784430159759</v>
      </c>
      <c r="V63" s="53">
        <f t="shared" si="99"/>
        <v>2733.1</v>
      </c>
      <c r="W63" s="53">
        <f t="shared" si="79"/>
        <v>611</v>
      </c>
      <c r="X63" s="54">
        <f t="shared" si="80"/>
        <v>17.05</v>
      </c>
      <c r="Y63" s="54">
        <f t="shared" si="81"/>
        <v>26.78207737185299</v>
      </c>
      <c r="Z63" s="53">
        <f t="shared" si="100"/>
        <v>750</v>
      </c>
      <c r="AA63" s="53">
        <f t="shared" si="82"/>
        <v>139</v>
      </c>
      <c r="AB63" s="54">
        <f t="shared" si="72"/>
        <v>320.66769403854835</v>
      </c>
      <c r="AC63" s="53">
        <f t="shared" si="101"/>
        <v>2787.3</v>
      </c>
      <c r="AD63" s="53">
        <f t="shared" si="102"/>
        <v>1070.4</v>
      </c>
      <c r="AE63" s="53">
        <f t="shared" si="83"/>
        <v>24.049999999999997</v>
      </c>
      <c r="AF63" s="53">
        <f t="shared" si="103"/>
        <v>1076</v>
      </c>
      <c r="AG63" s="54">
        <f t="shared" si="84"/>
        <v>37.77765165941726</v>
      </c>
      <c r="AH63" s="54">
        <f t="shared" si="85"/>
        <v>405.69116332501</v>
      </c>
      <c r="AI63" s="53">
        <f t="shared" si="86"/>
        <v>3192.9</v>
      </c>
      <c r="AJ63" s="53">
        <f t="shared" si="87"/>
        <v>1100.4</v>
      </c>
      <c r="AK63" s="54">
        <f t="shared" si="88"/>
        <v>14.549999999999999</v>
      </c>
      <c r="AL63" s="300">
        <v>100.3281</v>
      </c>
      <c r="AM63" s="53">
        <v>2</v>
      </c>
      <c r="AN63" s="53">
        <f t="shared" si="89"/>
        <v>66</v>
      </c>
      <c r="AO63" s="53">
        <f t="shared" si="104"/>
        <v>6.62</v>
      </c>
      <c r="AP63" s="55">
        <f t="shared" si="90"/>
        <v>2733.4549875457515</v>
      </c>
      <c r="AQ63" s="100">
        <v>53</v>
      </c>
      <c r="AR63" s="14">
        <f t="shared" si="91"/>
        <v>24</v>
      </c>
    </row>
    <row r="64" spans="1:44" s="14" customFormat="1" ht="12.75">
      <c r="A64" s="50"/>
      <c r="B64" s="50"/>
      <c r="C64" s="50">
        <v>16</v>
      </c>
      <c r="D64" s="51">
        <v>3</v>
      </c>
      <c r="E64" s="51">
        <v>3</v>
      </c>
      <c r="F64" s="52" t="s">
        <v>177</v>
      </c>
      <c r="G64" s="52">
        <v>2</v>
      </c>
      <c r="H64" s="53">
        <f t="shared" si="92"/>
        <v>0.35</v>
      </c>
      <c r="I64" s="53">
        <f t="shared" si="93"/>
        <v>2</v>
      </c>
      <c r="J64" s="53">
        <f t="shared" si="94"/>
        <v>0.7</v>
      </c>
      <c r="K64" s="53">
        <f t="shared" si="73"/>
        <v>1139.125</v>
      </c>
      <c r="L64" s="53">
        <f t="shared" si="95"/>
        <v>577.25</v>
      </c>
      <c r="M64" s="53">
        <f t="shared" si="74"/>
        <v>1144.3</v>
      </c>
      <c r="N64" s="54">
        <f t="shared" si="75"/>
        <v>577.325</v>
      </c>
      <c r="O64" s="54">
        <f t="shared" si="96"/>
        <v>5.175</v>
      </c>
      <c r="P64" s="53">
        <f t="shared" si="97"/>
        <v>18.6</v>
      </c>
      <c r="Q64" s="54">
        <f t="shared" si="76"/>
        <v>0.07500000000004547</v>
      </c>
      <c r="R64" s="53">
        <f t="shared" si="98"/>
        <v>582.5</v>
      </c>
      <c r="S64" s="54">
        <f t="shared" si="77"/>
        <v>8.12887099116359</v>
      </c>
      <c r="T64" s="54">
        <f t="shared" si="71"/>
        <v>593.35</v>
      </c>
      <c r="U64" s="54">
        <f t="shared" si="78"/>
        <v>1591.5260603351142</v>
      </c>
      <c r="V64" s="53">
        <f t="shared" si="99"/>
        <v>2733.1</v>
      </c>
      <c r="W64" s="53">
        <f t="shared" si="79"/>
        <v>611</v>
      </c>
      <c r="X64" s="54">
        <f t="shared" si="80"/>
        <v>17.75</v>
      </c>
      <c r="Y64" s="54">
        <f t="shared" si="81"/>
        <v>27.881634800609415</v>
      </c>
      <c r="Z64" s="53">
        <f t="shared" si="100"/>
        <v>750</v>
      </c>
      <c r="AA64" s="53">
        <f t="shared" si="82"/>
        <v>139</v>
      </c>
      <c r="AB64" s="54">
        <f t="shared" si="72"/>
        <v>320.6676940385484</v>
      </c>
      <c r="AC64" s="53">
        <f t="shared" si="101"/>
        <v>2787.3</v>
      </c>
      <c r="AD64" s="53">
        <f t="shared" si="102"/>
        <v>1070.4</v>
      </c>
      <c r="AE64" s="53">
        <f t="shared" si="83"/>
        <v>23.349999999999998</v>
      </c>
      <c r="AF64" s="53">
        <f t="shared" si="103"/>
        <v>1076</v>
      </c>
      <c r="AG64" s="54">
        <f t="shared" si="84"/>
        <v>36.67809423066083</v>
      </c>
      <c r="AH64" s="54">
        <f t="shared" si="85"/>
        <v>405.69116332501</v>
      </c>
      <c r="AI64" s="53">
        <f t="shared" si="86"/>
        <v>3192.9</v>
      </c>
      <c r="AJ64" s="53">
        <f t="shared" si="87"/>
        <v>1100.4</v>
      </c>
      <c r="AK64" s="54">
        <f t="shared" si="88"/>
        <v>15.249999999999998</v>
      </c>
      <c r="AL64" s="300">
        <v>100.7023</v>
      </c>
      <c r="AM64" s="53">
        <v>3</v>
      </c>
      <c r="AN64" s="53">
        <f t="shared" si="89"/>
        <v>22</v>
      </c>
      <c r="AO64" s="53">
        <f t="shared" si="104"/>
        <v>6.62</v>
      </c>
      <c r="AP64" s="55">
        <f t="shared" si="90"/>
        <v>2677.5708177211063</v>
      </c>
      <c r="AQ64" s="100">
        <v>54</v>
      </c>
      <c r="AR64" s="14">
        <f t="shared" si="91"/>
        <v>16</v>
      </c>
    </row>
    <row r="65" spans="1:44" s="14" customFormat="1" ht="12.75">
      <c r="A65" s="69">
        <v>2</v>
      </c>
      <c r="B65" s="69">
        <v>1</v>
      </c>
      <c r="C65" s="69">
        <v>15</v>
      </c>
      <c r="D65" s="70">
        <v>4</v>
      </c>
      <c r="E65" s="70">
        <v>1</v>
      </c>
      <c r="F65" s="71" t="s">
        <v>176</v>
      </c>
      <c r="G65" s="71">
        <v>3</v>
      </c>
      <c r="H65" s="72">
        <f t="shared" si="92"/>
        <v>0.35</v>
      </c>
      <c r="I65" s="72">
        <f t="shared" si="93"/>
        <v>2</v>
      </c>
      <c r="J65" s="72">
        <f t="shared" si="94"/>
        <v>0.7</v>
      </c>
      <c r="K65" s="72">
        <f t="shared" si="73"/>
        <v>1323.025</v>
      </c>
      <c r="L65" s="72">
        <f t="shared" si="95"/>
        <v>577.25</v>
      </c>
      <c r="M65" s="72">
        <f t="shared" si="74"/>
        <v>1328.2</v>
      </c>
      <c r="N65" s="73">
        <f t="shared" si="75"/>
        <v>577.325</v>
      </c>
      <c r="O65" s="73">
        <f t="shared" si="96"/>
        <v>5.175</v>
      </c>
      <c r="P65" s="72">
        <f t="shared" si="97"/>
        <v>18.6</v>
      </c>
      <c r="Q65" s="73">
        <f t="shared" si="76"/>
        <v>0.07500000000004547</v>
      </c>
      <c r="R65" s="72">
        <f t="shared" si="98"/>
        <v>582.5</v>
      </c>
      <c r="S65" s="73">
        <f t="shared" si="77"/>
        <v>8.12887099116359</v>
      </c>
      <c r="T65" s="73">
        <f t="shared" si="71"/>
        <v>592.65</v>
      </c>
      <c r="U65" s="73">
        <f t="shared" si="78"/>
        <v>1407.1841799529257</v>
      </c>
      <c r="V65" s="72">
        <f t="shared" si="99"/>
        <v>2733.1</v>
      </c>
      <c r="W65" s="72">
        <f t="shared" si="79"/>
        <v>611</v>
      </c>
      <c r="X65" s="73">
        <f t="shared" si="80"/>
        <v>18.450000000000003</v>
      </c>
      <c r="Y65" s="73">
        <f t="shared" si="81"/>
        <v>28.981192229365845</v>
      </c>
      <c r="Z65" s="72">
        <f t="shared" si="100"/>
        <v>750</v>
      </c>
      <c r="AA65" s="72">
        <f t="shared" si="82"/>
        <v>139</v>
      </c>
      <c r="AB65" s="73">
        <f t="shared" si="72"/>
        <v>320.6676940385484</v>
      </c>
      <c r="AC65" s="72">
        <f t="shared" si="101"/>
        <v>2787.3</v>
      </c>
      <c r="AD65" s="72">
        <f t="shared" si="102"/>
        <v>1070.4</v>
      </c>
      <c r="AE65" s="72">
        <f t="shared" si="83"/>
        <v>22.65</v>
      </c>
      <c r="AF65" s="72">
        <f t="shared" si="103"/>
        <v>1076</v>
      </c>
      <c r="AG65" s="73">
        <f t="shared" si="84"/>
        <v>35.578536801904406</v>
      </c>
      <c r="AH65" s="73">
        <f t="shared" si="85"/>
        <v>405.69116332501</v>
      </c>
      <c r="AI65" s="72">
        <f t="shared" si="86"/>
        <v>3192.9</v>
      </c>
      <c r="AJ65" s="72">
        <f t="shared" si="87"/>
        <v>1100.4</v>
      </c>
      <c r="AK65" s="73">
        <f t="shared" si="88"/>
        <v>15.95</v>
      </c>
      <c r="AL65" s="299">
        <v>108.1451</v>
      </c>
      <c r="AM65" s="72">
        <v>1</v>
      </c>
      <c r="AN65" s="72">
        <f t="shared" si="89"/>
        <v>110</v>
      </c>
      <c r="AO65" s="72">
        <f t="shared" si="104"/>
        <v>6.62</v>
      </c>
      <c r="AP65" s="75">
        <f t="shared" si="90"/>
        <v>2588.6717373389183</v>
      </c>
      <c r="AQ65" s="99">
        <v>55</v>
      </c>
      <c r="AR65" s="14">
        <f t="shared" si="91"/>
        <v>24</v>
      </c>
    </row>
    <row r="66" spans="1:44" s="14" customFormat="1" ht="12.75">
      <c r="A66" s="50"/>
      <c r="B66" s="50"/>
      <c r="C66" s="50">
        <v>14</v>
      </c>
      <c r="D66" s="51">
        <v>4</v>
      </c>
      <c r="E66" s="51">
        <v>2</v>
      </c>
      <c r="F66" s="52" t="s">
        <v>175</v>
      </c>
      <c r="G66" s="52">
        <v>3</v>
      </c>
      <c r="H66" s="53">
        <f t="shared" si="92"/>
        <v>0.35</v>
      </c>
      <c r="I66" s="53">
        <f t="shared" si="93"/>
        <v>2</v>
      </c>
      <c r="J66" s="53">
        <f t="shared" si="94"/>
        <v>0.7</v>
      </c>
      <c r="K66" s="53">
        <f t="shared" si="73"/>
        <v>1335.275</v>
      </c>
      <c r="L66" s="53">
        <f t="shared" si="95"/>
        <v>577.25</v>
      </c>
      <c r="M66" s="53">
        <f t="shared" si="74"/>
        <v>1340.45</v>
      </c>
      <c r="N66" s="54">
        <f t="shared" si="75"/>
        <v>577.325</v>
      </c>
      <c r="O66" s="54">
        <f t="shared" si="96"/>
        <v>5.175</v>
      </c>
      <c r="P66" s="53">
        <f t="shared" si="97"/>
        <v>18.6</v>
      </c>
      <c r="Q66" s="54">
        <f t="shared" si="76"/>
        <v>0.07500000000004547</v>
      </c>
      <c r="R66" s="53">
        <f t="shared" si="98"/>
        <v>582.5</v>
      </c>
      <c r="S66" s="54">
        <f t="shared" si="77"/>
        <v>8.12887099116359</v>
      </c>
      <c r="T66" s="54">
        <f t="shared" si="71"/>
        <v>591.95</v>
      </c>
      <c r="U66" s="54">
        <f t="shared" si="78"/>
        <v>1394.925332767835</v>
      </c>
      <c r="V66" s="53">
        <f t="shared" si="99"/>
        <v>2733.1</v>
      </c>
      <c r="W66" s="53">
        <f t="shared" si="79"/>
        <v>611</v>
      </c>
      <c r="X66" s="54">
        <f t="shared" si="80"/>
        <v>19.150000000000002</v>
      </c>
      <c r="Y66" s="54">
        <f t="shared" si="81"/>
        <v>30.080749658122272</v>
      </c>
      <c r="Z66" s="53">
        <f t="shared" si="100"/>
        <v>750</v>
      </c>
      <c r="AA66" s="53">
        <f t="shared" si="82"/>
        <v>139</v>
      </c>
      <c r="AB66" s="54">
        <f t="shared" si="72"/>
        <v>320.6676940385484</v>
      </c>
      <c r="AC66" s="53">
        <f t="shared" si="101"/>
        <v>2787.3</v>
      </c>
      <c r="AD66" s="53">
        <f t="shared" si="102"/>
        <v>1070.4</v>
      </c>
      <c r="AE66" s="53">
        <f t="shared" si="83"/>
        <v>21.949999999999996</v>
      </c>
      <c r="AF66" s="53">
        <f t="shared" si="103"/>
        <v>1076</v>
      </c>
      <c r="AG66" s="54">
        <f t="shared" si="84"/>
        <v>34.47897937314797</v>
      </c>
      <c r="AH66" s="54">
        <f t="shared" si="85"/>
        <v>405.69116332501</v>
      </c>
      <c r="AI66" s="53">
        <f t="shared" si="86"/>
        <v>3192.9</v>
      </c>
      <c r="AJ66" s="53">
        <f t="shared" si="87"/>
        <v>1100.4</v>
      </c>
      <c r="AK66" s="54">
        <f t="shared" si="88"/>
        <v>16.650000000000002</v>
      </c>
      <c r="AL66" s="300">
        <v>108.479</v>
      </c>
      <c r="AM66" s="53">
        <v>2</v>
      </c>
      <c r="AN66" s="53">
        <f t="shared" si="89"/>
        <v>66</v>
      </c>
      <c r="AO66" s="53">
        <f t="shared" si="104"/>
        <v>6.62</v>
      </c>
      <c r="AP66" s="55">
        <f t="shared" si="90"/>
        <v>2532.746790153827</v>
      </c>
      <c r="AQ66" s="100">
        <v>56</v>
      </c>
      <c r="AR66" s="14">
        <f t="shared" si="91"/>
        <v>24</v>
      </c>
    </row>
    <row r="67" spans="1:44" s="14" customFormat="1" ht="12.75">
      <c r="A67" s="50"/>
      <c r="B67" s="50"/>
      <c r="C67" s="50">
        <v>13</v>
      </c>
      <c r="D67" s="51">
        <v>4</v>
      </c>
      <c r="E67" s="51">
        <v>3</v>
      </c>
      <c r="F67" s="52" t="s">
        <v>177</v>
      </c>
      <c r="G67" s="52">
        <v>2</v>
      </c>
      <c r="H67" s="53">
        <f t="shared" si="92"/>
        <v>0.35</v>
      </c>
      <c r="I67" s="53">
        <f t="shared" si="93"/>
        <v>2</v>
      </c>
      <c r="J67" s="53">
        <f t="shared" si="94"/>
        <v>0.7</v>
      </c>
      <c r="K67" s="53">
        <f t="shared" si="73"/>
        <v>1347.525</v>
      </c>
      <c r="L67" s="53">
        <f t="shared" si="95"/>
        <v>577.25</v>
      </c>
      <c r="M67" s="53">
        <f t="shared" si="74"/>
        <v>1352.7</v>
      </c>
      <c r="N67" s="54">
        <f t="shared" si="75"/>
        <v>577.325</v>
      </c>
      <c r="O67" s="54">
        <f t="shared" si="96"/>
        <v>5.175</v>
      </c>
      <c r="P67" s="53">
        <f t="shared" si="97"/>
        <v>18.6</v>
      </c>
      <c r="Q67" s="54">
        <f t="shared" si="76"/>
        <v>0.07500000000004547</v>
      </c>
      <c r="R67" s="53">
        <f t="shared" si="98"/>
        <v>582.5</v>
      </c>
      <c r="S67" s="54">
        <f t="shared" si="77"/>
        <v>8.12887099116359</v>
      </c>
      <c r="T67" s="54">
        <f t="shared" si="71"/>
        <v>591.25</v>
      </c>
      <c r="U67" s="54">
        <f t="shared" si="78"/>
        <v>1382.6677483646026</v>
      </c>
      <c r="V67" s="53">
        <f t="shared" si="99"/>
        <v>2733.1</v>
      </c>
      <c r="W67" s="53">
        <f t="shared" si="79"/>
        <v>611</v>
      </c>
      <c r="X67" s="54">
        <f t="shared" si="80"/>
        <v>19.85</v>
      </c>
      <c r="Y67" s="54">
        <f t="shared" si="81"/>
        <v>31.1803070868787</v>
      </c>
      <c r="Z67" s="53">
        <f t="shared" si="100"/>
        <v>750</v>
      </c>
      <c r="AA67" s="53">
        <f t="shared" si="82"/>
        <v>139</v>
      </c>
      <c r="AB67" s="54">
        <f t="shared" si="72"/>
        <v>320.6676940385484</v>
      </c>
      <c r="AC67" s="53">
        <f t="shared" si="101"/>
        <v>2787.3</v>
      </c>
      <c r="AD67" s="53">
        <f t="shared" si="102"/>
        <v>1070.4</v>
      </c>
      <c r="AE67" s="53">
        <f t="shared" si="83"/>
        <v>21.25</v>
      </c>
      <c r="AF67" s="53">
        <f t="shared" si="103"/>
        <v>1076</v>
      </c>
      <c r="AG67" s="54">
        <f t="shared" si="84"/>
        <v>33.37942194439155</v>
      </c>
      <c r="AH67" s="54">
        <f t="shared" si="85"/>
        <v>405.69116332501</v>
      </c>
      <c r="AI67" s="53">
        <f t="shared" si="86"/>
        <v>3192.9</v>
      </c>
      <c r="AJ67" s="53">
        <f t="shared" si="87"/>
        <v>1100.4</v>
      </c>
      <c r="AK67" s="54">
        <f t="shared" si="88"/>
        <v>17.35</v>
      </c>
      <c r="AL67" s="300">
        <v>108.8137</v>
      </c>
      <c r="AM67" s="53">
        <v>3</v>
      </c>
      <c r="AN67" s="53">
        <f t="shared" si="89"/>
        <v>22</v>
      </c>
      <c r="AO67" s="53">
        <f t="shared" si="104"/>
        <v>6.62</v>
      </c>
      <c r="AP67" s="55">
        <f t="shared" si="90"/>
        <v>2476.8239057505953</v>
      </c>
      <c r="AQ67" s="100">
        <v>57</v>
      </c>
      <c r="AR67" s="14">
        <f t="shared" si="91"/>
        <v>16</v>
      </c>
    </row>
    <row r="68" spans="1:44" s="14" customFormat="1" ht="12.75">
      <c r="A68" s="69">
        <v>2</v>
      </c>
      <c r="B68" s="69">
        <v>1</v>
      </c>
      <c r="C68" s="69">
        <v>12</v>
      </c>
      <c r="D68" s="70">
        <v>5</v>
      </c>
      <c r="E68" s="70">
        <v>1</v>
      </c>
      <c r="F68" s="71" t="s">
        <v>176</v>
      </c>
      <c r="G68" s="71">
        <v>3</v>
      </c>
      <c r="H68" s="72">
        <f t="shared" si="92"/>
        <v>0.35</v>
      </c>
      <c r="I68" s="72">
        <f t="shared" si="93"/>
        <v>2</v>
      </c>
      <c r="J68" s="72">
        <f t="shared" si="94"/>
        <v>0.7</v>
      </c>
      <c r="K68" s="72">
        <f t="shared" si="73"/>
        <v>1422.825</v>
      </c>
      <c r="L68" s="72">
        <f t="shared" si="95"/>
        <v>577.25</v>
      </c>
      <c r="M68" s="72">
        <f t="shared" si="74"/>
        <v>1428</v>
      </c>
      <c r="N68" s="73">
        <f t="shared" si="75"/>
        <v>577.325</v>
      </c>
      <c r="O68" s="73">
        <f t="shared" si="96"/>
        <v>5.175</v>
      </c>
      <c r="P68" s="72">
        <f t="shared" si="97"/>
        <v>18.6</v>
      </c>
      <c r="Q68" s="73">
        <f t="shared" si="76"/>
        <v>0.07500000000004547</v>
      </c>
      <c r="R68" s="72">
        <f t="shared" si="98"/>
        <v>582.5</v>
      </c>
      <c r="S68" s="73">
        <f t="shared" si="77"/>
        <v>8.12887099116359</v>
      </c>
      <c r="T68" s="73">
        <f t="shared" si="71"/>
        <v>590.55</v>
      </c>
      <c r="U68" s="73">
        <f t="shared" si="78"/>
        <v>1306.922714536836</v>
      </c>
      <c r="V68" s="72">
        <f t="shared" si="99"/>
        <v>2733.1</v>
      </c>
      <c r="W68" s="72">
        <f t="shared" si="79"/>
        <v>611</v>
      </c>
      <c r="X68" s="73">
        <f t="shared" si="80"/>
        <v>20.55</v>
      </c>
      <c r="Y68" s="73">
        <f t="shared" si="81"/>
        <v>32.279864515635126</v>
      </c>
      <c r="Z68" s="72">
        <f t="shared" si="100"/>
        <v>750</v>
      </c>
      <c r="AA68" s="72">
        <f t="shared" si="82"/>
        <v>139</v>
      </c>
      <c r="AB68" s="73">
        <f t="shared" si="72"/>
        <v>320.66769403854835</v>
      </c>
      <c r="AC68" s="72">
        <f t="shared" si="101"/>
        <v>2787.3</v>
      </c>
      <c r="AD68" s="72">
        <f t="shared" si="102"/>
        <v>1070.4</v>
      </c>
      <c r="AE68" s="72">
        <f t="shared" si="83"/>
        <v>20.549999999999997</v>
      </c>
      <c r="AF68" s="72">
        <f t="shared" si="103"/>
        <v>1076</v>
      </c>
      <c r="AG68" s="73">
        <f t="shared" si="84"/>
        <v>32.27986451563512</v>
      </c>
      <c r="AH68" s="73">
        <f t="shared" si="85"/>
        <v>405.69116332501</v>
      </c>
      <c r="AI68" s="72">
        <f t="shared" si="86"/>
        <v>3192.9</v>
      </c>
      <c r="AJ68" s="72">
        <f t="shared" si="87"/>
        <v>1100.4</v>
      </c>
      <c r="AK68" s="73">
        <f t="shared" si="88"/>
        <v>18.05</v>
      </c>
      <c r="AL68" s="299">
        <v>118.7582</v>
      </c>
      <c r="AM68" s="72">
        <v>1</v>
      </c>
      <c r="AN68" s="72">
        <f t="shared" si="89"/>
        <v>110</v>
      </c>
      <c r="AO68" s="72">
        <f t="shared" si="104"/>
        <v>6.62</v>
      </c>
      <c r="AP68" s="75">
        <f t="shared" si="90"/>
        <v>2499.0233719228286</v>
      </c>
      <c r="AQ68" s="99">
        <v>58</v>
      </c>
      <c r="AR68" s="14">
        <f t="shared" si="91"/>
        <v>24</v>
      </c>
    </row>
    <row r="69" spans="1:44" s="14" customFormat="1" ht="12.75">
      <c r="A69" s="50"/>
      <c r="B69" s="50"/>
      <c r="C69" s="50">
        <v>11</v>
      </c>
      <c r="D69" s="51">
        <v>5</v>
      </c>
      <c r="E69" s="51">
        <v>2</v>
      </c>
      <c r="F69" s="52" t="s">
        <v>175</v>
      </c>
      <c r="G69" s="52">
        <v>3</v>
      </c>
      <c r="H69" s="53">
        <f t="shared" si="92"/>
        <v>0.35</v>
      </c>
      <c r="I69" s="53">
        <f t="shared" si="93"/>
        <v>2</v>
      </c>
      <c r="J69" s="53">
        <f t="shared" si="94"/>
        <v>0.7</v>
      </c>
      <c r="K69" s="53">
        <f t="shared" si="73"/>
        <v>1435.075</v>
      </c>
      <c r="L69" s="53">
        <f t="shared" si="95"/>
        <v>577.25</v>
      </c>
      <c r="M69" s="53">
        <f t="shared" si="74"/>
        <v>1440.25</v>
      </c>
      <c r="N69" s="54">
        <f t="shared" si="75"/>
        <v>577.325</v>
      </c>
      <c r="O69" s="54">
        <f t="shared" si="96"/>
        <v>5.175</v>
      </c>
      <c r="P69" s="53">
        <f t="shared" si="97"/>
        <v>18.6</v>
      </c>
      <c r="Q69" s="54">
        <f t="shared" si="76"/>
        <v>0.07500000000004547</v>
      </c>
      <c r="R69" s="53">
        <f t="shared" si="98"/>
        <v>582.5</v>
      </c>
      <c r="S69" s="54">
        <f t="shared" si="77"/>
        <v>8.12887099116359</v>
      </c>
      <c r="T69" s="54">
        <f t="shared" si="71"/>
        <v>589.85</v>
      </c>
      <c r="U69" s="54">
        <f t="shared" si="78"/>
        <v>1294.6653497174404</v>
      </c>
      <c r="V69" s="53">
        <f t="shared" si="99"/>
        <v>2733.1</v>
      </c>
      <c r="W69" s="53">
        <f t="shared" si="79"/>
        <v>611</v>
      </c>
      <c r="X69" s="54">
        <f t="shared" si="80"/>
        <v>21.25</v>
      </c>
      <c r="Y69" s="54">
        <f t="shared" si="81"/>
        <v>33.37942194439155</v>
      </c>
      <c r="Z69" s="53">
        <f t="shared" si="100"/>
        <v>750</v>
      </c>
      <c r="AA69" s="53">
        <f t="shared" si="82"/>
        <v>139</v>
      </c>
      <c r="AB69" s="54">
        <f t="shared" si="72"/>
        <v>320.6676940385484</v>
      </c>
      <c r="AC69" s="53">
        <f t="shared" si="101"/>
        <v>2787.3</v>
      </c>
      <c r="AD69" s="53">
        <f t="shared" si="102"/>
        <v>1070.4</v>
      </c>
      <c r="AE69" s="53">
        <f t="shared" si="83"/>
        <v>19.849999999999998</v>
      </c>
      <c r="AF69" s="53">
        <f t="shared" si="103"/>
        <v>1076</v>
      </c>
      <c r="AG69" s="54">
        <f t="shared" si="84"/>
        <v>31.180307086878692</v>
      </c>
      <c r="AH69" s="54">
        <f t="shared" si="85"/>
        <v>405.69116332501</v>
      </c>
      <c r="AI69" s="53">
        <f t="shared" si="86"/>
        <v>3192.9</v>
      </c>
      <c r="AJ69" s="53">
        <f t="shared" si="87"/>
        <v>1100.4</v>
      </c>
      <c r="AK69" s="54">
        <f t="shared" si="88"/>
        <v>18.75</v>
      </c>
      <c r="AL69" s="300">
        <v>119.051</v>
      </c>
      <c r="AM69" s="53">
        <v>2</v>
      </c>
      <c r="AN69" s="53">
        <f t="shared" si="89"/>
        <v>66</v>
      </c>
      <c r="AO69" s="53">
        <f t="shared" si="104"/>
        <v>6.62</v>
      </c>
      <c r="AP69" s="55">
        <f t="shared" si="90"/>
        <v>2443.0588071034326</v>
      </c>
      <c r="AQ69" s="100">
        <v>59</v>
      </c>
      <c r="AR69" s="14">
        <f t="shared" si="91"/>
        <v>24</v>
      </c>
    </row>
    <row r="70" spans="1:44" s="14" customFormat="1" ht="12.75">
      <c r="A70" s="50"/>
      <c r="B70" s="50"/>
      <c r="C70" s="50">
        <v>10</v>
      </c>
      <c r="D70" s="51">
        <v>5</v>
      </c>
      <c r="E70" s="51">
        <v>3</v>
      </c>
      <c r="F70" s="52" t="s">
        <v>177</v>
      </c>
      <c r="G70" s="52">
        <v>2</v>
      </c>
      <c r="H70" s="53">
        <f t="shared" si="92"/>
        <v>0.35</v>
      </c>
      <c r="I70" s="53">
        <f t="shared" si="93"/>
        <v>2</v>
      </c>
      <c r="J70" s="53">
        <f t="shared" si="94"/>
        <v>0.7</v>
      </c>
      <c r="K70" s="53">
        <f t="shared" si="73"/>
        <v>1447.325</v>
      </c>
      <c r="L70" s="53">
        <f t="shared" si="95"/>
        <v>577.25</v>
      </c>
      <c r="M70" s="53">
        <f t="shared" si="74"/>
        <v>1452.5</v>
      </c>
      <c r="N70" s="54">
        <f t="shared" si="75"/>
        <v>577.325</v>
      </c>
      <c r="O70" s="54">
        <f t="shared" si="96"/>
        <v>5.175</v>
      </c>
      <c r="P70" s="53">
        <f t="shared" si="97"/>
        <v>18.6</v>
      </c>
      <c r="Q70" s="54">
        <f t="shared" si="76"/>
        <v>0.07500000000004547</v>
      </c>
      <c r="R70" s="53">
        <f t="shared" si="98"/>
        <v>582.5</v>
      </c>
      <c r="S70" s="54">
        <f t="shared" si="77"/>
        <v>8.12887099116359</v>
      </c>
      <c r="T70" s="54">
        <f t="shared" si="71"/>
        <v>589.15</v>
      </c>
      <c r="U70" s="54">
        <f t="shared" si="78"/>
        <v>1282.409374477635</v>
      </c>
      <c r="V70" s="53">
        <f t="shared" si="99"/>
        <v>2733.1</v>
      </c>
      <c r="W70" s="53">
        <f t="shared" si="79"/>
        <v>611</v>
      </c>
      <c r="X70" s="54">
        <f t="shared" si="80"/>
        <v>21.950000000000003</v>
      </c>
      <c r="Y70" s="54">
        <f t="shared" si="81"/>
        <v>34.478979373147986</v>
      </c>
      <c r="Z70" s="53">
        <f t="shared" si="100"/>
        <v>750</v>
      </c>
      <c r="AA70" s="53">
        <f t="shared" si="82"/>
        <v>139</v>
      </c>
      <c r="AB70" s="54">
        <f t="shared" si="72"/>
        <v>320.6676940385484</v>
      </c>
      <c r="AC70" s="53">
        <f t="shared" si="101"/>
        <v>2787.3</v>
      </c>
      <c r="AD70" s="53">
        <f t="shared" si="102"/>
        <v>1070.4</v>
      </c>
      <c r="AE70" s="53">
        <f t="shared" si="83"/>
        <v>19.15</v>
      </c>
      <c r="AF70" s="53">
        <f t="shared" si="103"/>
        <v>1076</v>
      </c>
      <c r="AG70" s="54">
        <f t="shared" si="84"/>
        <v>30.080749658122265</v>
      </c>
      <c r="AH70" s="54">
        <f t="shared" si="85"/>
        <v>405.69116332501</v>
      </c>
      <c r="AI70" s="53">
        <f t="shared" si="86"/>
        <v>3192.9</v>
      </c>
      <c r="AJ70" s="53">
        <f t="shared" si="87"/>
        <v>1100.4</v>
      </c>
      <c r="AK70" s="54">
        <f t="shared" si="88"/>
        <v>19.450000000000003</v>
      </c>
      <c r="AL70" s="300">
        <v>119.3533</v>
      </c>
      <c r="AM70" s="53">
        <v>3</v>
      </c>
      <c r="AN70" s="53">
        <f t="shared" si="89"/>
        <v>22</v>
      </c>
      <c r="AO70" s="53">
        <f t="shared" si="104"/>
        <v>6.62</v>
      </c>
      <c r="AP70" s="55">
        <f t="shared" si="90"/>
        <v>2387.1051318636273</v>
      </c>
      <c r="AQ70" s="100">
        <v>60</v>
      </c>
      <c r="AR70" s="14">
        <f t="shared" si="91"/>
        <v>16</v>
      </c>
    </row>
    <row r="71" spans="1:44" s="14" customFormat="1" ht="12.75">
      <c r="A71" s="69">
        <v>2</v>
      </c>
      <c r="B71" s="69">
        <v>1</v>
      </c>
      <c r="C71" s="69">
        <v>9</v>
      </c>
      <c r="D71" s="70">
        <v>6</v>
      </c>
      <c r="E71" s="70">
        <v>1</v>
      </c>
      <c r="F71" s="71" t="s">
        <v>176</v>
      </c>
      <c r="G71" s="71">
        <v>3</v>
      </c>
      <c r="H71" s="72">
        <f t="shared" si="92"/>
        <v>0.35</v>
      </c>
      <c r="I71" s="72">
        <f t="shared" si="93"/>
        <v>2</v>
      </c>
      <c r="J71" s="72">
        <f t="shared" si="94"/>
        <v>0.7</v>
      </c>
      <c r="K71" s="72">
        <f t="shared" si="73"/>
        <v>1794.525</v>
      </c>
      <c r="L71" s="72">
        <f t="shared" si="95"/>
        <v>577.25</v>
      </c>
      <c r="M71" s="72">
        <f t="shared" si="74"/>
        <v>1799.7</v>
      </c>
      <c r="N71" s="73">
        <f t="shared" si="75"/>
        <v>577.325</v>
      </c>
      <c r="O71" s="73">
        <f t="shared" si="96"/>
        <v>5.175</v>
      </c>
      <c r="P71" s="72">
        <f t="shared" si="97"/>
        <v>18.6</v>
      </c>
      <c r="Q71" s="73">
        <f t="shared" si="76"/>
        <v>0.07500000000004547</v>
      </c>
      <c r="R71" s="72">
        <f t="shared" si="98"/>
        <v>582.5</v>
      </c>
      <c r="S71" s="73">
        <f t="shared" si="77"/>
        <v>8.12887099116359</v>
      </c>
      <c r="T71" s="73">
        <f t="shared" si="71"/>
        <v>588.45</v>
      </c>
      <c r="U71" s="73">
        <f t="shared" si="78"/>
        <v>934.7667986489207</v>
      </c>
      <c r="V71" s="72">
        <f t="shared" si="99"/>
        <v>2733.1</v>
      </c>
      <c r="W71" s="72">
        <f t="shared" si="79"/>
        <v>611</v>
      </c>
      <c r="X71" s="73">
        <f t="shared" si="80"/>
        <v>22.65</v>
      </c>
      <c r="Y71" s="73">
        <f t="shared" si="81"/>
        <v>35.578536801904406</v>
      </c>
      <c r="Z71" s="72">
        <f t="shared" si="100"/>
        <v>750</v>
      </c>
      <c r="AA71" s="72">
        <f t="shared" si="82"/>
        <v>139</v>
      </c>
      <c r="AB71" s="73">
        <f t="shared" si="72"/>
        <v>320.6676940385484</v>
      </c>
      <c r="AC71" s="72">
        <f t="shared" si="101"/>
        <v>2787.3</v>
      </c>
      <c r="AD71" s="72">
        <f t="shared" si="102"/>
        <v>1070.4</v>
      </c>
      <c r="AE71" s="72">
        <f t="shared" si="83"/>
        <v>18.45</v>
      </c>
      <c r="AF71" s="72">
        <f t="shared" si="103"/>
        <v>1076</v>
      </c>
      <c r="AG71" s="73">
        <f t="shared" si="84"/>
        <v>28.981192229365842</v>
      </c>
      <c r="AH71" s="73">
        <f t="shared" si="85"/>
        <v>405.69116332501</v>
      </c>
      <c r="AI71" s="72">
        <f t="shared" si="86"/>
        <v>3192.9</v>
      </c>
      <c r="AJ71" s="72">
        <f t="shared" si="87"/>
        <v>1100.4</v>
      </c>
      <c r="AK71" s="73">
        <f t="shared" si="88"/>
        <v>20.15</v>
      </c>
      <c r="AL71" s="299">
        <v>131.1952</v>
      </c>
      <c r="AM71" s="72">
        <v>1</v>
      </c>
      <c r="AN71" s="72">
        <f t="shared" si="89"/>
        <v>110</v>
      </c>
      <c r="AO71" s="72">
        <f t="shared" si="104"/>
        <v>6.62</v>
      </c>
      <c r="AP71" s="75">
        <f t="shared" si="90"/>
        <v>2139.304456034913</v>
      </c>
      <c r="AQ71" s="99">
        <v>61</v>
      </c>
      <c r="AR71" s="14">
        <f t="shared" si="91"/>
        <v>24</v>
      </c>
    </row>
    <row r="72" spans="1:44" s="14" customFormat="1" ht="12.75">
      <c r="A72" s="50"/>
      <c r="B72" s="50"/>
      <c r="C72" s="50">
        <v>8</v>
      </c>
      <c r="D72" s="51">
        <v>6</v>
      </c>
      <c r="E72" s="51">
        <v>2</v>
      </c>
      <c r="F72" s="52" t="s">
        <v>175</v>
      </c>
      <c r="G72" s="52">
        <v>3</v>
      </c>
      <c r="H72" s="53">
        <f t="shared" si="92"/>
        <v>0.35</v>
      </c>
      <c r="I72" s="53">
        <f t="shared" si="93"/>
        <v>2</v>
      </c>
      <c r="J72" s="53">
        <f t="shared" si="94"/>
        <v>0.7</v>
      </c>
      <c r="K72" s="53">
        <f t="shared" si="73"/>
        <v>1806.775</v>
      </c>
      <c r="L72" s="53">
        <f t="shared" si="95"/>
        <v>577.25</v>
      </c>
      <c r="M72" s="53">
        <f t="shared" si="74"/>
        <v>1811.95</v>
      </c>
      <c r="N72" s="54">
        <f t="shared" si="75"/>
        <v>577.325</v>
      </c>
      <c r="O72" s="54">
        <f t="shared" si="96"/>
        <v>5.175</v>
      </c>
      <c r="P72" s="53">
        <f t="shared" si="97"/>
        <v>18.6</v>
      </c>
      <c r="Q72" s="54">
        <f t="shared" si="76"/>
        <v>0.07500000000004547</v>
      </c>
      <c r="R72" s="53">
        <f t="shared" si="98"/>
        <v>582.5</v>
      </c>
      <c r="S72" s="54">
        <f t="shared" si="77"/>
        <v>8.12887099116359</v>
      </c>
      <c r="T72" s="54">
        <f t="shared" si="71"/>
        <v>587.75</v>
      </c>
      <c r="U72" s="54">
        <f t="shared" si="78"/>
        <v>922.5095749380233</v>
      </c>
      <c r="V72" s="53">
        <f t="shared" si="99"/>
        <v>2733.1</v>
      </c>
      <c r="W72" s="53">
        <f t="shared" si="79"/>
        <v>611</v>
      </c>
      <c r="X72" s="54">
        <f t="shared" si="80"/>
        <v>23.35</v>
      </c>
      <c r="Y72" s="54">
        <f t="shared" si="81"/>
        <v>36.67809423066084</v>
      </c>
      <c r="Z72" s="53">
        <f t="shared" si="100"/>
        <v>750</v>
      </c>
      <c r="AA72" s="53">
        <f t="shared" si="82"/>
        <v>139</v>
      </c>
      <c r="AB72" s="54">
        <f t="shared" si="72"/>
        <v>320.6676940385484</v>
      </c>
      <c r="AC72" s="53">
        <f t="shared" si="101"/>
        <v>2787.3</v>
      </c>
      <c r="AD72" s="53">
        <f t="shared" si="102"/>
        <v>1070.4</v>
      </c>
      <c r="AE72" s="53">
        <f t="shared" si="83"/>
        <v>17.75</v>
      </c>
      <c r="AF72" s="53">
        <f t="shared" si="103"/>
        <v>1076</v>
      </c>
      <c r="AG72" s="54">
        <f t="shared" si="84"/>
        <v>27.881634800609415</v>
      </c>
      <c r="AH72" s="54">
        <f t="shared" si="85"/>
        <v>405.69116332501</v>
      </c>
      <c r="AI72" s="53">
        <f t="shared" si="86"/>
        <v>3192.9</v>
      </c>
      <c r="AJ72" s="53">
        <f t="shared" si="87"/>
        <v>1100.4</v>
      </c>
      <c r="AK72" s="54">
        <f t="shared" si="88"/>
        <v>20.85</v>
      </c>
      <c r="AL72" s="300">
        <v>131.4344</v>
      </c>
      <c r="AM72" s="53">
        <v>2</v>
      </c>
      <c r="AN72" s="53">
        <f t="shared" si="89"/>
        <v>66</v>
      </c>
      <c r="AO72" s="53">
        <f t="shared" si="104"/>
        <v>6.62</v>
      </c>
      <c r="AP72" s="55">
        <f t="shared" si="90"/>
        <v>2083.2864323240155</v>
      </c>
      <c r="AQ72" s="100">
        <v>62</v>
      </c>
      <c r="AR72" s="14">
        <f t="shared" si="91"/>
        <v>24</v>
      </c>
    </row>
    <row r="73" spans="1:44" s="14" customFormat="1" ht="13.5" thickBot="1">
      <c r="A73" s="50"/>
      <c r="B73" s="50"/>
      <c r="C73" s="50">
        <v>7</v>
      </c>
      <c r="D73" s="51">
        <v>6</v>
      </c>
      <c r="E73" s="51">
        <v>3</v>
      </c>
      <c r="F73" s="52" t="s">
        <v>177</v>
      </c>
      <c r="G73" s="52">
        <v>2</v>
      </c>
      <c r="H73" s="53">
        <f t="shared" si="92"/>
        <v>0.35</v>
      </c>
      <c r="I73" s="53">
        <f t="shared" si="93"/>
        <v>2</v>
      </c>
      <c r="J73" s="53">
        <f t="shared" si="94"/>
        <v>0.7</v>
      </c>
      <c r="K73" s="53">
        <f t="shared" si="73"/>
        <v>1819.025</v>
      </c>
      <c r="L73" s="53">
        <f t="shared" si="95"/>
        <v>577.25</v>
      </c>
      <c r="M73" s="53">
        <f t="shared" si="74"/>
        <v>1824.2</v>
      </c>
      <c r="N73" s="54">
        <f t="shared" si="75"/>
        <v>577.325</v>
      </c>
      <c r="O73" s="54">
        <f t="shared" si="96"/>
        <v>5.175</v>
      </c>
      <c r="P73" s="53">
        <f t="shared" si="97"/>
        <v>18.6</v>
      </c>
      <c r="Q73" s="54">
        <f t="shared" si="76"/>
        <v>0.07500000000004547</v>
      </c>
      <c r="R73" s="53">
        <f t="shared" si="98"/>
        <v>582.5</v>
      </c>
      <c r="S73" s="54">
        <f t="shared" si="77"/>
        <v>8.12887099116359</v>
      </c>
      <c r="T73" s="54">
        <f t="shared" si="71"/>
        <v>587.05</v>
      </c>
      <c r="U73" s="54">
        <f t="shared" si="78"/>
        <v>910.2543128954774</v>
      </c>
      <c r="V73" s="53">
        <f t="shared" si="99"/>
        <v>2733.1</v>
      </c>
      <c r="W73" s="53">
        <f t="shared" si="79"/>
        <v>611</v>
      </c>
      <c r="X73" s="54">
        <f t="shared" si="80"/>
        <v>24.05</v>
      </c>
      <c r="Y73" s="54">
        <f t="shared" si="81"/>
        <v>37.777651659417266</v>
      </c>
      <c r="Z73" s="53">
        <f t="shared" si="100"/>
        <v>750</v>
      </c>
      <c r="AA73" s="53">
        <f t="shared" si="82"/>
        <v>139</v>
      </c>
      <c r="AB73" s="54">
        <f t="shared" si="72"/>
        <v>320.66769403854835</v>
      </c>
      <c r="AC73" s="53">
        <f t="shared" si="101"/>
        <v>2787.3</v>
      </c>
      <c r="AD73" s="53">
        <f t="shared" si="102"/>
        <v>1070.4</v>
      </c>
      <c r="AE73" s="53">
        <f t="shared" si="83"/>
        <v>17.049999999999997</v>
      </c>
      <c r="AF73" s="53">
        <f t="shared" si="103"/>
        <v>1076</v>
      </c>
      <c r="AG73" s="54">
        <f t="shared" si="84"/>
        <v>26.78207737185298</v>
      </c>
      <c r="AH73" s="54">
        <f t="shared" si="85"/>
        <v>405.69116332501</v>
      </c>
      <c r="AI73" s="53">
        <f t="shared" si="86"/>
        <v>3192.9</v>
      </c>
      <c r="AJ73" s="53">
        <f t="shared" si="87"/>
        <v>1100.4</v>
      </c>
      <c r="AK73" s="54">
        <f t="shared" si="88"/>
        <v>21.55</v>
      </c>
      <c r="AL73" s="300">
        <v>131.7087</v>
      </c>
      <c r="AM73" s="53">
        <v>3</v>
      </c>
      <c r="AN73" s="53">
        <f t="shared" si="89"/>
        <v>22</v>
      </c>
      <c r="AO73" s="53">
        <f t="shared" si="104"/>
        <v>6.62</v>
      </c>
      <c r="AP73" s="55">
        <f t="shared" si="90"/>
        <v>2027.305470281469</v>
      </c>
      <c r="AQ73" s="100">
        <v>63</v>
      </c>
      <c r="AR73" s="14">
        <f t="shared" si="91"/>
        <v>16</v>
      </c>
    </row>
    <row r="74" spans="1:44" s="14" customFormat="1" ht="12.75">
      <c r="A74" s="69"/>
      <c r="B74" s="69">
        <v>3</v>
      </c>
      <c r="C74" s="69">
        <v>6</v>
      </c>
      <c r="D74" s="70">
        <v>7</v>
      </c>
      <c r="E74" s="70">
        <v>1</v>
      </c>
      <c r="F74" s="45" t="s">
        <v>174</v>
      </c>
      <c r="G74" s="71">
        <v>3</v>
      </c>
      <c r="H74" s="72">
        <f t="shared" si="92"/>
        <v>0.35</v>
      </c>
      <c r="I74" s="72">
        <f t="shared" si="93"/>
        <v>2</v>
      </c>
      <c r="J74" s="72">
        <f t="shared" si="94"/>
        <v>0.7</v>
      </c>
      <c r="K74" s="72">
        <f t="shared" si="73"/>
        <v>2138.325</v>
      </c>
      <c r="L74" s="72">
        <f t="shared" si="95"/>
        <v>577.25</v>
      </c>
      <c r="M74" s="72">
        <f t="shared" si="74"/>
        <v>2143.5</v>
      </c>
      <c r="N74" s="73">
        <f t="shared" si="75"/>
        <v>577.325</v>
      </c>
      <c r="O74" s="73">
        <f t="shared" si="96"/>
        <v>5.175</v>
      </c>
      <c r="P74" s="72">
        <f t="shared" si="97"/>
        <v>18.6</v>
      </c>
      <c r="Q74" s="73">
        <f t="shared" si="76"/>
        <v>0.07500000000004547</v>
      </c>
      <c r="R74" s="72">
        <f t="shared" si="98"/>
        <v>582.5</v>
      </c>
      <c r="S74" s="73">
        <f t="shared" si="77"/>
        <v>8.12887099116359</v>
      </c>
      <c r="T74" s="73">
        <f t="shared" si="71"/>
        <v>586.35</v>
      </c>
      <c r="U74" s="73">
        <f t="shared" si="78"/>
        <v>590.5103883073973</v>
      </c>
      <c r="V74" s="72">
        <f t="shared" si="99"/>
        <v>2733.1</v>
      </c>
      <c r="W74" s="72">
        <f t="shared" si="79"/>
        <v>611</v>
      </c>
      <c r="X74" s="73">
        <f t="shared" si="80"/>
        <v>24.75</v>
      </c>
      <c r="Y74" s="73">
        <f t="shared" si="81"/>
        <v>38.87720908817369</v>
      </c>
      <c r="Z74" s="72">
        <f t="shared" si="100"/>
        <v>750</v>
      </c>
      <c r="AA74" s="72">
        <f t="shared" si="82"/>
        <v>139</v>
      </c>
      <c r="AB74" s="73">
        <f t="shared" si="72"/>
        <v>320.6676940385484</v>
      </c>
      <c r="AC74" s="72">
        <f t="shared" si="101"/>
        <v>2787.3</v>
      </c>
      <c r="AD74" s="72">
        <f t="shared" si="102"/>
        <v>1070.4</v>
      </c>
      <c r="AE74" s="72">
        <f t="shared" si="83"/>
        <v>16.349999999999998</v>
      </c>
      <c r="AF74" s="72">
        <f t="shared" si="103"/>
        <v>1076</v>
      </c>
      <c r="AG74" s="73">
        <f t="shared" si="84"/>
        <v>25.682519943096555</v>
      </c>
      <c r="AH74" s="73">
        <f t="shared" si="85"/>
        <v>405.69116332501</v>
      </c>
      <c r="AI74" s="72">
        <f t="shared" si="86"/>
        <v>3192.9</v>
      </c>
      <c r="AJ74" s="72">
        <f t="shared" si="87"/>
        <v>1100.4</v>
      </c>
      <c r="AK74" s="73">
        <f t="shared" si="88"/>
        <v>22.25</v>
      </c>
      <c r="AL74" s="299">
        <v>180.4107</v>
      </c>
      <c r="AM74" s="72">
        <v>1</v>
      </c>
      <c r="AN74" s="72">
        <f t="shared" si="89"/>
        <v>66</v>
      </c>
      <c r="AO74" s="72">
        <f t="shared" si="104"/>
        <v>6.62</v>
      </c>
      <c r="AP74" s="75">
        <f t="shared" si="90"/>
        <v>1800.2635456933895</v>
      </c>
      <c r="AQ74" s="99">
        <v>64</v>
      </c>
      <c r="AR74" s="14">
        <f t="shared" si="91"/>
        <v>24</v>
      </c>
    </row>
    <row r="75" spans="1:44" s="14" customFormat="1" ht="13.5" thickBot="1">
      <c r="A75" s="50"/>
      <c r="B75" s="50"/>
      <c r="C75" s="50">
        <v>5</v>
      </c>
      <c r="D75" s="51">
        <v>7</v>
      </c>
      <c r="E75" s="51">
        <v>2</v>
      </c>
      <c r="F75" s="64" t="s">
        <v>175</v>
      </c>
      <c r="G75" s="52">
        <v>3</v>
      </c>
      <c r="H75" s="53">
        <f t="shared" si="92"/>
        <v>0.35</v>
      </c>
      <c r="I75" s="53">
        <f t="shared" si="93"/>
        <v>2</v>
      </c>
      <c r="J75" s="53">
        <f t="shared" si="94"/>
        <v>0.7</v>
      </c>
      <c r="K75" s="53">
        <f t="shared" si="73"/>
        <v>2150.575</v>
      </c>
      <c r="L75" s="53">
        <f t="shared" si="95"/>
        <v>577.25</v>
      </c>
      <c r="M75" s="53">
        <f t="shared" si="74"/>
        <v>2155.75</v>
      </c>
      <c r="N75" s="54">
        <f t="shared" si="75"/>
        <v>577.325</v>
      </c>
      <c r="O75" s="54">
        <f t="shared" si="96"/>
        <v>5.175</v>
      </c>
      <c r="P75" s="53">
        <f t="shared" si="97"/>
        <v>18.6</v>
      </c>
      <c r="Q75" s="54">
        <f t="shared" si="76"/>
        <v>0.07500000000004547</v>
      </c>
      <c r="R75" s="53">
        <f t="shared" si="98"/>
        <v>582.5</v>
      </c>
      <c r="S75" s="54">
        <f t="shared" si="77"/>
        <v>8.12887099116359</v>
      </c>
      <c r="T75" s="54">
        <f t="shared" si="71"/>
        <v>585.65</v>
      </c>
      <c r="U75" s="54">
        <f t="shared" si="78"/>
        <v>578.2538191611794</v>
      </c>
      <c r="V75" s="53">
        <f t="shared" si="99"/>
        <v>2733.1</v>
      </c>
      <c r="W75" s="53">
        <f t="shared" si="79"/>
        <v>611</v>
      </c>
      <c r="X75" s="54">
        <f t="shared" si="80"/>
        <v>25.450000000000003</v>
      </c>
      <c r="Y75" s="54">
        <f t="shared" si="81"/>
        <v>39.97676651693012</v>
      </c>
      <c r="Z75" s="53">
        <f t="shared" si="100"/>
        <v>750</v>
      </c>
      <c r="AA75" s="53">
        <f t="shared" si="82"/>
        <v>139</v>
      </c>
      <c r="AB75" s="54">
        <f t="shared" si="72"/>
        <v>320.6676940385484</v>
      </c>
      <c r="AC75" s="53">
        <f t="shared" si="101"/>
        <v>2787.3</v>
      </c>
      <c r="AD75" s="53">
        <f t="shared" si="102"/>
        <v>1070.4</v>
      </c>
      <c r="AE75" s="53">
        <f t="shared" si="83"/>
        <v>15.65</v>
      </c>
      <c r="AF75" s="53">
        <f t="shared" si="103"/>
        <v>1076</v>
      </c>
      <c r="AG75" s="54">
        <f t="shared" si="84"/>
        <v>24.58296251434013</v>
      </c>
      <c r="AH75" s="54">
        <f t="shared" si="85"/>
        <v>405.69116332501</v>
      </c>
      <c r="AI75" s="53">
        <f t="shared" si="86"/>
        <v>3192.9</v>
      </c>
      <c r="AJ75" s="53">
        <f t="shared" si="87"/>
        <v>1100.4</v>
      </c>
      <c r="AK75" s="54">
        <f t="shared" si="88"/>
        <v>22.950000000000003</v>
      </c>
      <c r="AL75" s="300">
        <v>180.6772</v>
      </c>
      <c r="AM75" s="53">
        <v>2</v>
      </c>
      <c r="AN75" s="53">
        <f t="shared" si="89"/>
        <v>22</v>
      </c>
      <c r="AO75" s="53">
        <f t="shared" si="104"/>
        <v>6.62</v>
      </c>
      <c r="AP75" s="55">
        <f t="shared" si="90"/>
        <v>1744.2734765471716</v>
      </c>
      <c r="AQ75" s="100">
        <v>65</v>
      </c>
      <c r="AR75" s="14">
        <f t="shared" si="91"/>
        <v>24</v>
      </c>
    </row>
    <row r="76" spans="1:44" s="14" customFormat="1" ht="12.75">
      <c r="A76" s="69"/>
      <c r="B76" s="69">
        <v>3</v>
      </c>
      <c r="C76" s="69">
        <v>4</v>
      </c>
      <c r="D76" s="70">
        <v>8</v>
      </c>
      <c r="E76" s="70">
        <v>1</v>
      </c>
      <c r="F76" s="45" t="s">
        <v>174</v>
      </c>
      <c r="G76" s="71">
        <v>3</v>
      </c>
      <c r="H76" s="72">
        <f t="shared" si="92"/>
        <v>0.35</v>
      </c>
      <c r="I76" s="72">
        <f t="shared" si="93"/>
        <v>2</v>
      </c>
      <c r="J76" s="72">
        <f t="shared" si="94"/>
        <v>0.7</v>
      </c>
      <c r="K76" s="72">
        <f t="shared" si="73"/>
        <v>2528.125</v>
      </c>
      <c r="L76" s="72">
        <f t="shared" si="95"/>
        <v>577.25</v>
      </c>
      <c r="M76" s="72">
        <f t="shared" si="74"/>
        <v>2533.3</v>
      </c>
      <c r="N76" s="73">
        <f t="shared" si="75"/>
        <v>577.325</v>
      </c>
      <c r="O76" s="73">
        <f t="shared" si="96"/>
        <v>5.175</v>
      </c>
      <c r="P76" s="72">
        <f t="shared" si="97"/>
        <v>18.6</v>
      </c>
      <c r="Q76" s="73">
        <f t="shared" si="76"/>
        <v>0.07500000000004547</v>
      </c>
      <c r="R76" s="72">
        <f t="shared" si="98"/>
        <v>582.5</v>
      </c>
      <c r="S76" s="73">
        <f t="shared" si="77"/>
        <v>8.12887099116359</v>
      </c>
      <c r="T76" s="73">
        <f t="shared" si="71"/>
        <v>584.95</v>
      </c>
      <c r="U76" s="73">
        <f t="shared" si="78"/>
        <v>200.26103573126258</v>
      </c>
      <c r="V76" s="72">
        <f t="shared" si="99"/>
        <v>2733.1</v>
      </c>
      <c r="W76" s="72">
        <f t="shared" si="79"/>
        <v>611</v>
      </c>
      <c r="X76" s="73">
        <f t="shared" si="80"/>
        <v>26.15</v>
      </c>
      <c r="Y76" s="73">
        <f t="shared" si="81"/>
        <v>41.07632394568654</v>
      </c>
      <c r="Z76" s="72">
        <f t="shared" si="100"/>
        <v>750</v>
      </c>
      <c r="AA76" s="72">
        <f t="shared" si="82"/>
        <v>139</v>
      </c>
      <c r="AB76" s="73">
        <f t="shared" si="72"/>
        <v>320.6676940385484</v>
      </c>
      <c r="AC76" s="72">
        <f t="shared" si="101"/>
        <v>2787.3</v>
      </c>
      <c r="AD76" s="72">
        <f t="shared" si="102"/>
        <v>1070.4</v>
      </c>
      <c r="AE76" s="72">
        <f t="shared" si="83"/>
        <v>14.950000000000001</v>
      </c>
      <c r="AF76" s="72">
        <f t="shared" si="103"/>
        <v>1076</v>
      </c>
      <c r="AG76" s="73">
        <f t="shared" si="84"/>
        <v>23.483405085583705</v>
      </c>
      <c r="AH76" s="73">
        <f t="shared" si="85"/>
        <v>405.69116332501</v>
      </c>
      <c r="AI76" s="72">
        <f t="shared" si="86"/>
        <v>3192.9</v>
      </c>
      <c r="AJ76" s="72">
        <f t="shared" si="87"/>
        <v>1100.4</v>
      </c>
      <c r="AK76" s="73">
        <f t="shared" si="88"/>
        <v>23.65</v>
      </c>
      <c r="AL76" s="299">
        <v>189.1822</v>
      </c>
      <c r="AM76" s="72">
        <v>1</v>
      </c>
      <c r="AN76" s="72">
        <f t="shared" si="89"/>
        <v>66</v>
      </c>
      <c r="AO76" s="72">
        <f t="shared" si="104"/>
        <v>6.62</v>
      </c>
      <c r="AP76" s="75">
        <f t="shared" si="90"/>
        <v>1418.7856931172548</v>
      </c>
      <c r="AQ76" s="99">
        <v>66</v>
      </c>
      <c r="AR76" s="14">
        <f t="shared" si="91"/>
        <v>24</v>
      </c>
    </row>
    <row r="77" spans="1:44" s="14" customFormat="1" ht="12.75">
      <c r="A77" s="50"/>
      <c r="B77" s="50"/>
      <c r="C77" s="50">
        <v>3</v>
      </c>
      <c r="D77" s="51">
        <v>8</v>
      </c>
      <c r="E77" s="51">
        <v>2</v>
      </c>
      <c r="F77" s="64" t="s">
        <v>175</v>
      </c>
      <c r="G77" s="52">
        <v>3</v>
      </c>
      <c r="H77" s="53">
        <f t="shared" si="92"/>
        <v>0.35</v>
      </c>
      <c r="I77" s="53">
        <f t="shared" si="93"/>
        <v>2</v>
      </c>
      <c r="J77" s="53">
        <f t="shared" si="94"/>
        <v>0.7</v>
      </c>
      <c r="K77" s="53">
        <f t="shared" si="73"/>
        <v>2540.375</v>
      </c>
      <c r="L77" s="53">
        <f t="shared" si="95"/>
        <v>577.25</v>
      </c>
      <c r="M77" s="53">
        <f t="shared" si="74"/>
        <v>2545.55</v>
      </c>
      <c r="N77" s="54">
        <f t="shared" si="75"/>
        <v>577.325</v>
      </c>
      <c r="O77" s="54">
        <f t="shared" si="96"/>
        <v>5.175</v>
      </c>
      <c r="P77" s="53">
        <f t="shared" si="97"/>
        <v>18.6</v>
      </c>
      <c r="Q77" s="54">
        <f t="shared" si="76"/>
        <v>0.07500000000004547</v>
      </c>
      <c r="R77" s="53">
        <f t="shared" si="98"/>
        <v>582.5</v>
      </c>
      <c r="S77" s="54">
        <f t="shared" si="77"/>
        <v>8.12887099116359</v>
      </c>
      <c r="T77" s="54">
        <f t="shared" si="71"/>
        <v>584.25</v>
      </c>
      <c r="U77" s="54">
        <f t="shared" si="78"/>
        <v>188.0013063137655</v>
      </c>
      <c r="V77" s="53">
        <f t="shared" si="99"/>
        <v>2733.1</v>
      </c>
      <c r="W77" s="53">
        <f t="shared" si="79"/>
        <v>611</v>
      </c>
      <c r="X77" s="54">
        <f t="shared" si="80"/>
        <v>26.85</v>
      </c>
      <c r="Y77" s="54">
        <f t="shared" si="81"/>
        <v>42.17588137444297</v>
      </c>
      <c r="Z77" s="53">
        <f t="shared" si="100"/>
        <v>750</v>
      </c>
      <c r="AA77" s="53">
        <f t="shared" si="82"/>
        <v>139</v>
      </c>
      <c r="AB77" s="54">
        <f t="shared" si="72"/>
        <v>320.6676940385484</v>
      </c>
      <c r="AC77" s="53">
        <f t="shared" si="101"/>
        <v>2787.3</v>
      </c>
      <c r="AD77" s="53">
        <f t="shared" si="102"/>
        <v>1070.4</v>
      </c>
      <c r="AE77" s="53">
        <f t="shared" si="83"/>
        <v>14.25</v>
      </c>
      <c r="AF77" s="53">
        <f t="shared" si="103"/>
        <v>1076</v>
      </c>
      <c r="AG77" s="54">
        <f t="shared" si="84"/>
        <v>22.383847656827275</v>
      </c>
      <c r="AH77" s="54">
        <f t="shared" si="85"/>
        <v>405.69116332501</v>
      </c>
      <c r="AI77" s="53">
        <f t="shared" si="86"/>
        <v>3192.9</v>
      </c>
      <c r="AJ77" s="53">
        <f t="shared" si="87"/>
        <v>1100.4</v>
      </c>
      <c r="AK77" s="54">
        <f t="shared" si="88"/>
        <v>24.35</v>
      </c>
      <c r="AL77" s="300">
        <v>189.4516</v>
      </c>
      <c r="AM77" s="53">
        <v>2</v>
      </c>
      <c r="AN77" s="53">
        <f t="shared" si="89"/>
        <v>22</v>
      </c>
      <c r="AO77" s="53">
        <f t="shared" si="104"/>
        <v>6.62</v>
      </c>
      <c r="AP77" s="55">
        <f t="shared" si="90"/>
        <v>1362.7953636997577</v>
      </c>
      <c r="AQ77" s="100">
        <v>67</v>
      </c>
      <c r="AR77" s="14">
        <f t="shared" si="91"/>
        <v>24</v>
      </c>
    </row>
    <row r="78" spans="1:44" s="14" customFormat="1" ht="12.75">
      <c r="A78" s="69"/>
      <c r="B78" s="69">
        <v>3</v>
      </c>
      <c r="C78" s="69">
        <v>2</v>
      </c>
      <c r="D78" s="70">
        <v>9</v>
      </c>
      <c r="E78" s="70">
        <v>1</v>
      </c>
      <c r="F78" s="71" t="s">
        <v>179</v>
      </c>
      <c r="G78" s="71">
        <v>0</v>
      </c>
      <c r="H78" s="72">
        <f t="shared" si="92"/>
        <v>0.35</v>
      </c>
      <c r="I78" s="72">
        <f t="shared" si="93"/>
        <v>2</v>
      </c>
      <c r="J78" s="72">
        <f t="shared" si="94"/>
        <v>0.7</v>
      </c>
      <c r="K78" s="72">
        <f t="shared" si="73"/>
        <v>2683.9757</v>
      </c>
      <c r="L78" s="72">
        <f t="shared" si="95"/>
        <v>577.25</v>
      </c>
      <c r="M78" s="72">
        <f t="shared" si="74"/>
        <v>2689.1507</v>
      </c>
      <c r="N78" s="73">
        <f t="shared" si="75"/>
        <v>577.325</v>
      </c>
      <c r="O78" s="73">
        <f t="shared" si="96"/>
        <v>5.175</v>
      </c>
      <c r="P78" s="72">
        <f t="shared" si="97"/>
        <v>18.6</v>
      </c>
      <c r="Q78" s="73">
        <f t="shared" si="76"/>
        <v>0.07500000000004547</v>
      </c>
      <c r="R78" s="72">
        <f t="shared" si="98"/>
        <v>582.5</v>
      </c>
      <c r="S78" s="73">
        <f t="shared" si="77"/>
        <v>8.12887099116359</v>
      </c>
      <c r="T78" s="73">
        <f t="shared" si="71"/>
        <v>583.55</v>
      </c>
      <c r="U78" s="73">
        <f t="shared" si="78"/>
        <v>43.95487425178213</v>
      </c>
      <c r="V78" s="72">
        <f t="shared" si="99"/>
        <v>2733.1</v>
      </c>
      <c r="W78" s="72">
        <f t="shared" si="79"/>
        <v>611</v>
      </c>
      <c r="X78" s="73">
        <f t="shared" si="80"/>
        <v>27.55</v>
      </c>
      <c r="Y78" s="73">
        <f t="shared" si="81"/>
        <v>43.2754388031994</v>
      </c>
      <c r="Z78" s="72">
        <f t="shared" si="100"/>
        <v>750</v>
      </c>
      <c r="AA78" s="72">
        <f t="shared" si="82"/>
        <v>139</v>
      </c>
      <c r="AB78" s="73">
        <f t="shared" si="72"/>
        <v>320.66769403854835</v>
      </c>
      <c r="AC78" s="72">
        <f t="shared" si="101"/>
        <v>2787.3</v>
      </c>
      <c r="AD78" s="72">
        <f t="shared" si="102"/>
        <v>1070.4</v>
      </c>
      <c r="AE78" s="72">
        <f t="shared" si="83"/>
        <v>13.55</v>
      </c>
      <c r="AF78" s="72">
        <f t="shared" si="103"/>
        <v>1076</v>
      </c>
      <c r="AG78" s="73">
        <f t="shared" si="84"/>
        <v>21.284290228070848</v>
      </c>
      <c r="AH78" s="73">
        <f t="shared" si="85"/>
        <v>405.69116332501</v>
      </c>
      <c r="AI78" s="72">
        <f t="shared" si="86"/>
        <v>3192.9</v>
      </c>
      <c r="AJ78" s="72">
        <f t="shared" si="87"/>
        <v>1100.4</v>
      </c>
      <c r="AK78" s="73">
        <f t="shared" si="88"/>
        <v>25.05</v>
      </c>
      <c r="AL78" s="299">
        <v>201.7113</v>
      </c>
      <c r="AM78" s="72">
        <v>1</v>
      </c>
      <c r="AN78" s="72">
        <f t="shared" si="89"/>
        <v>66</v>
      </c>
      <c r="AO78" s="72">
        <f t="shared" si="104"/>
        <v>6.62</v>
      </c>
      <c r="AP78" s="75">
        <f t="shared" si="90"/>
        <v>1275.0086316377742</v>
      </c>
      <c r="AQ78" s="99">
        <v>68</v>
      </c>
      <c r="AR78" s="14">
        <f t="shared" si="91"/>
        <v>0</v>
      </c>
    </row>
    <row r="79" spans="1:44" s="14" customFormat="1" ht="13.5" thickBot="1">
      <c r="A79" s="56"/>
      <c r="B79" s="56"/>
      <c r="C79" s="56">
        <v>1</v>
      </c>
      <c r="D79" s="57">
        <v>9</v>
      </c>
      <c r="E79" s="57">
        <v>2</v>
      </c>
      <c r="F79" s="58" t="s">
        <v>178</v>
      </c>
      <c r="G79" s="58">
        <v>3</v>
      </c>
      <c r="H79" s="59">
        <f t="shared" si="92"/>
        <v>0.35</v>
      </c>
      <c r="I79" s="59">
        <f t="shared" si="93"/>
        <v>2</v>
      </c>
      <c r="J79" s="59">
        <f t="shared" si="94"/>
        <v>0.7</v>
      </c>
      <c r="K79" s="59">
        <f t="shared" si="73"/>
        <v>2696.2257</v>
      </c>
      <c r="L79" s="59">
        <f t="shared" si="95"/>
        <v>577.25</v>
      </c>
      <c r="M79" s="59">
        <f t="shared" si="74"/>
        <v>2701.4007</v>
      </c>
      <c r="N79" s="60">
        <f t="shared" si="75"/>
        <v>577.325</v>
      </c>
      <c r="O79" s="60">
        <f t="shared" si="96"/>
        <v>5.175</v>
      </c>
      <c r="P79" s="59">
        <f t="shared" si="97"/>
        <v>18.6</v>
      </c>
      <c r="Q79" s="60">
        <f t="shared" si="76"/>
        <v>0.07500000000004547</v>
      </c>
      <c r="R79" s="59">
        <f t="shared" si="98"/>
        <v>582.5</v>
      </c>
      <c r="S79" s="60">
        <f t="shared" si="77"/>
        <v>8.12887099116359</v>
      </c>
      <c r="T79" s="60">
        <f t="shared" si="71"/>
        <v>582.85</v>
      </c>
      <c r="U79" s="60">
        <f t="shared" si="78"/>
        <v>31.707027935301426</v>
      </c>
      <c r="V79" s="59">
        <f t="shared" si="99"/>
        <v>2733.1</v>
      </c>
      <c r="W79" s="59">
        <f t="shared" si="79"/>
        <v>611</v>
      </c>
      <c r="X79" s="60">
        <f t="shared" si="80"/>
        <v>28.25</v>
      </c>
      <c r="Y79" s="60">
        <f t="shared" si="81"/>
        <v>44.374996231955826</v>
      </c>
      <c r="Z79" s="59">
        <f t="shared" si="100"/>
        <v>750</v>
      </c>
      <c r="AA79" s="59">
        <f t="shared" si="82"/>
        <v>139</v>
      </c>
      <c r="AB79" s="60">
        <f>SQRT((POWER((AD79-Z79),2))+(POWER(((AC79-AE79)-(V79+X79)),2)))</f>
        <v>320.6676940385484</v>
      </c>
      <c r="AC79" s="59">
        <f t="shared" si="101"/>
        <v>2787.3</v>
      </c>
      <c r="AD79" s="59">
        <f t="shared" si="102"/>
        <v>1070.4</v>
      </c>
      <c r="AE79" s="59">
        <f t="shared" si="83"/>
        <v>12.85</v>
      </c>
      <c r="AF79" s="59">
        <f t="shared" si="103"/>
        <v>1076</v>
      </c>
      <c r="AG79" s="60">
        <f t="shared" si="84"/>
        <v>20.18473279931442</v>
      </c>
      <c r="AH79" s="60">
        <f t="shared" si="85"/>
        <v>405.69116332501</v>
      </c>
      <c r="AI79" s="59">
        <f t="shared" si="86"/>
        <v>3192.9</v>
      </c>
      <c r="AJ79" s="59">
        <f t="shared" si="87"/>
        <v>1100.4</v>
      </c>
      <c r="AK79" s="60">
        <f t="shared" si="88"/>
        <v>25.75</v>
      </c>
      <c r="AL79" s="301">
        <v>201.9316</v>
      </c>
      <c r="AM79" s="59">
        <v>2</v>
      </c>
      <c r="AN79" s="59">
        <f t="shared" si="89"/>
        <v>22</v>
      </c>
      <c r="AO79" s="59">
        <f t="shared" si="104"/>
        <v>6.62</v>
      </c>
      <c r="AP79" s="61">
        <f t="shared" si="90"/>
        <v>1218.9810853212934</v>
      </c>
      <c r="AQ79" s="101">
        <v>69</v>
      </c>
      <c r="AR79" s="14">
        <f t="shared" si="91"/>
        <v>24</v>
      </c>
    </row>
    <row r="80" spans="1:44" s="87" customFormat="1" ht="12.75">
      <c r="A80" s="83"/>
      <c r="B80" s="83"/>
      <c r="C80" s="83"/>
      <c r="D80" s="83"/>
      <c r="E80" s="83"/>
      <c r="F80" s="83" t="s">
        <v>147</v>
      </c>
      <c r="G80" s="83"/>
      <c r="H80" s="84"/>
      <c r="I80" s="84"/>
      <c r="J80" s="84"/>
      <c r="K80" s="84"/>
      <c r="L80" s="84"/>
      <c r="M80" s="84"/>
      <c r="N80" s="84"/>
      <c r="O80" s="84"/>
      <c r="P80" s="84"/>
      <c r="Q80" s="85"/>
      <c r="R80" s="84"/>
      <c r="S80" s="85"/>
      <c r="T80" s="85"/>
      <c r="U80" s="85"/>
      <c r="V80" s="84"/>
      <c r="W80" s="84"/>
      <c r="X80" s="84"/>
      <c r="Y80" s="85"/>
      <c r="Z80" s="84"/>
      <c r="AA80" s="84"/>
      <c r="AB80" s="85"/>
      <c r="AC80" s="84"/>
      <c r="AD80" s="84"/>
      <c r="AE80" s="84"/>
      <c r="AF80" s="84"/>
      <c r="AG80" s="85"/>
      <c r="AH80" s="85"/>
      <c r="AI80" s="84"/>
      <c r="AJ80" s="84"/>
      <c r="AK80" s="84"/>
      <c r="AL80" s="84"/>
      <c r="AM80" s="84"/>
      <c r="AN80" s="84"/>
      <c r="AO80" s="84"/>
      <c r="AP80" s="86"/>
      <c r="AQ80" s="83"/>
      <c r="AR80" s="84">
        <f>SUM(AR57:AR79)</f>
        <v>488</v>
      </c>
    </row>
    <row r="81" spans="1:43" s="87" customFormat="1" ht="12.75">
      <c r="A81" s="83"/>
      <c r="B81" s="83"/>
      <c r="C81" s="83"/>
      <c r="D81" s="83"/>
      <c r="E81" s="83"/>
      <c r="F81" s="83"/>
      <c r="G81" s="83"/>
      <c r="H81" s="84"/>
      <c r="I81" s="84"/>
      <c r="J81" s="84"/>
      <c r="K81" s="84"/>
      <c r="L81" s="84"/>
      <c r="M81" s="84"/>
      <c r="N81" s="84"/>
      <c r="O81" s="84"/>
      <c r="P81" s="84"/>
      <c r="Q81" s="85"/>
      <c r="R81" s="84"/>
      <c r="S81" s="85"/>
      <c r="T81" s="85"/>
      <c r="U81" s="85"/>
      <c r="V81" s="84"/>
      <c r="W81" s="84"/>
      <c r="X81" s="84"/>
      <c r="Y81" s="85"/>
      <c r="Z81" s="84"/>
      <c r="AA81" s="84"/>
      <c r="AB81" s="85"/>
      <c r="AC81" s="84"/>
      <c r="AD81" s="84"/>
      <c r="AE81" s="84"/>
      <c r="AF81" s="84"/>
      <c r="AG81" s="85"/>
      <c r="AH81" s="85"/>
      <c r="AI81" s="84"/>
      <c r="AJ81" s="84"/>
      <c r="AK81" s="84"/>
      <c r="AL81" s="84"/>
      <c r="AM81" s="84"/>
      <c r="AN81" s="84"/>
      <c r="AO81" s="84"/>
      <c r="AP81" s="86"/>
      <c r="AQ81" s="83"/>
    </row>
    <row r="82" spans="1:43" s="87" customFormat="1" ht="12.75">
      <c r="A82" s="83"/>
      <c r="B82" s="83"/>
      <c r="C82" s="83"/>
      <c r="D82" s="83"/>
      <c r="E82" s="83"/>
      <c r="F82" s="83"/>
      <c r="G82" s="83"/>
      <c r="H82" s="84"/>
      <c r="I82" s="84"/>
      <c r="J82" s="84"/>
      <c r="K82" s="84"/>
      <c r="L82" s="84"/>
      <c r="M82" s="84"/>
      <c r="N82" s="84"/>
      <c r="O82" s="84"/>
      <c r="P82" s="84"/>
      <c r="Q82" s="85"/>
      <c r="R82" s="84"/>
      <c r="S82" s="85"/>
      <c r="T82" s="85"/>
      <c r="U82" s="85"/>
      <c r="V82" s="84"/>
      <c r="W82" s="84"/>
      <c r="X82" s="84"/>
      <c r="Y82" s="85"/>
      <c r="Z82" s="84"/>
      <c r="AA82" s="84"/>
      <c r="AB82" s="85"/>
      <c r="AC82" s="84"/>
      <c r="AD82" s="84"/>
      <c r="AE82" s="84"/>
      <c r="AF82" s="84"/>
      <c r="AG82" s="85"/>
      <c r="AH82" s="85"/>
      <c r="AI82" s="84"/>
      <c r="AJ82" s="84"/>
      <c r="AK82" s="84"/>
      <c r="AL82" s="84"/>
      <c r="AM82" s="84"/>
      <c r="AN82" s="84"/>
      <c r="AO82" s="84"/>
      <c r="AP82" s="86"/>
      <c r="AQ82" s="83"/>
    </row>
    <row r="83" spans="1:3" ht="18.75" thickBot="1">
      <c r="A83" s="28"/>
      <c r="B83" s="28"/>
      <c r="C83" s="28" t="s">
        <v>52</v>
      </c>
    </row>
    <row r="84" spans="1:43" s="36" customFormat="1" ht="106.5" customHeight="1" thickBot="1">
      <c r="A84" s="38" t="str">
        <f>A56</f>
        <v>PPF1-3 PCBs</v>
      </c>
      <c r="B84" s="38" t="str">
        <f>B56</f>
        <v>PPF1-2 PCBs</v>
      </c>
      <c r="C84" s="38" t="str">
        <f>C56</f>
        <v>Tape # (bottom of stack up)</v>
      </c>
      <c r="D84" s="39" t="str">
        <f aca="true" t="shared" si="105" ref="D84:AQ84">D56</f>
        <v>Disc</v>
      </c>
      <c r="E84" s="39" t="str">
        <f t="shared" si="105"/>
        <v>PPF1 pos'n Lx</v>
      </c>
      <c r="F84" s="39" t="s">
        <v>146</v>
      </c>
      <c r="G84" s="39" t="str">
        <f t="shared" si="105"/>
        <v>No. of tapes</v>
      </c>
      <c r="H84" s="39" t="str">
        <f t="shared" si="105"/>
        <v>Tape thickness (mm)</v>
      </c>
      <c r="I84" s="39" t="str">
        <f t="shared" si="105"/>
        <v>Packing factor</v>
      </c>
      <c r="J84" s="39" t="str">
        <f t="shared" si="105"/>
        <v>Packing factor = 1.5x</v>
      </c>
      <c r="K84" s="39" t="str">
        <f t="shared" si="105"/>
        <v>PCB Z (mm)</v>
      </c>
      <c r="L84" s="39" t="str">
        <f t="shared" si="105"/>
        <v>PCB R (mm)</v>
      </c>
      <c r="M84" s="39" t="str">
        <f t="shared" si="105"/>
        <v>B1 Z (mm)</v>
      </c>
      <c r="N84" s="39" t="str">
        <f t="shared" si="105"/>
        <v>B1 R (mm)</v>
      </c>
      <c r="O84" s="39" t="str">
        <f t="shared" si="105"/>
        <v>B1 r (min 5) (mm)</v>
      </c>
      <c r="P84" s="40" t="str">
        <f t="shared" si="105"/>
        <v>1a: Length to solder pad + excess (mm)</v>
      </c>
      <c r="Q84" s="41" t="str">
        <f t="shared" si="105"/>
        <v>1: Tape length from PCB to bend (mm)</v>
      </c>
      <c r="R84" s="39" t="str">
        <f t="shared" si="105"/>
        <v>Cylinder R (mm) </v>
      </c>
      <c r="S84" s="41" t="str">
        <f t="shared" si="105"/>
        <v>2: Tape length around B1 (90deg) (mm)</v>
      </c>
      <c r="T84" s="88" t="str">
        <f t="shared" si="105"/>
        <v>Eventual horizontal tape run R (mm)</v>
      </c>
      <c r="U84" s="41" t="str">
        <f t="shared" si="105"/>
        <v>3: Length to next bend (+ 0.45/disc - STFT) (mm)</v>
      </c>
      <c r="V84" s="39" t="str">
        <f t="shared" si="105"/>
        <v>B2 Z (mm)</v>
      </c>
      <c r="W84" s="39" t="str">
        <f t="shared" si="105"/>
        <v>B2 R (mm)</v>
      </c>
      <c r="X84" s="39" t="str">
        <f t="shared" si="105"/>
        <v>B2 r (min 12.5) (mm)</v>
      </c>
      <c r="Y84" s="41" t="str">
        <f t="shared" si="105"/>
        <v>4: Tape length around B2 (90deg) (mm)</v>
      </c>
      <c r="Z84" s="39" t="str">
        <f t="shared" si="105"/>
        <v>STFT exit R (mm)</v>
      </c>
      <c r="AA84" s="40" t="str">
        <f t="shared" si="105"/>
        <v>5: length up to STFT exit (mm)</v>
      </c>
      <c r="AB84" s="41" t="str">
        <f t="shared" si="105"/>
        <v>6: length to next bend (mm)</v>
      </c>
      <c r="AC84" s="39" t="str">
        <f t="shared" si="105"/>
        <v>B3 Z (mm)</v>
      </c>
      <c r="AD84" s="39" t="str">
        <f t="shared" si="105"/>
        <v>B3 R (mm)</v>
      </c>
      <c r="AE84" s="39" t="str">
        <f t="shared" si="105"/>
        <v>B3 r (min 12.5) (mm)</v>
      </c>
      <c r="AF84" s="39" t="str">
        <f t="shared" si="105"/>
        <v>Cable tray R (mm)</v>
      </c>
      <c r="AG84" s="41" t="str">
        <f t="shared" si="105"/>
        <v>7: length around B3 (90deg) (mm)</v>
      </c>
      <c r="AH84" s="41" t="str">
        <f t="shared" si="105"/>
        <v>8: Length to B4 (mm)</v>
      </c>
      <c r="AI84" s="39" t="str">
        <f t="shared" si="105"/>
        <v>B4 Z (mm)</v>
      </c>
      <c r="AJ84" s="39" t="str">
        <f t="shared" si="105"/>
        <v>B4 R (mm)</v>
      </c>
      <c r="AK84" s="39" t="str">
        <f t="shared" si="105"/>
        <v>B4 r (min 10) (mm)</v>
      </c>
      <c r="AL84" s="40" t="str">
        <f t="shared" si="105"/>
        <v>9: To PPF1 from CAD model (mm)</v>
      </c>
      <c r="AM84" s="39" t="str">
        <f t="shared" si="105"/>
        <v>PPF1 position</v>
      </c>
      <c r="AN84" s="40" t="str">
        <f t="shared" si="105"/>
        <v>10: Board edge - pad + excess (mm)</v>
      </c>
      <c r="AO84" s="40" t="str">
        <f t="shared" si="105"/>
        <v>11: Phi shift compensation (P0e1:3 ) (mm)</v>
      </c>
      <c r="AP84" s="39" t="str">
        <f t="shared" si="105"/>
        <v>Total length (mm)</v>
      </c>
      <c r="AQ84" s="42" t="str">
        <f t="shared" si="105"/>
        <v>Tape  Type</v>
      </c>
    </row>
    <row r="85" spans="1:44" s="14" customFormat="1" ht="12.75">
      <c r="A85" s="43"/>
      <c r="B85" s="43">
        <v>3</v>
      </c>
      <c r="C85" s="43">
        <v>23</v>
      </c>
      <c r="D85" s="44">
        <v>1</v>
      </c>
      <c r="E85" s="44">
        <v>1</v>
      </c>
      <c r="F85" s="45" t="s">
        <v>54</v>
      </c>
      <c r="G85" s="45">
        <v>3</v>
      </c>
      <c r="H85" s="81">
        <f>H57</f>
        <v>0.35</v>
      </c>
      <c r="I85" s="81">
        <f>I57</f>
        <v>2</v>
      </c>
      <c r="J85" s="81">
        <f>H85*I85</f>
        <v>0.7</v>
      </c>
      <c r="K85" s="81">
        <f>K57</f>
        <v>876.925</v>
      </c>
      <c r="L85" s="81">
        <f>L57</f>
        <v>577.25</v>
      </c>
      <c r="M85" s="47">
        <f>K85+O85</f>
        <v>882.0999999999999</v>
      </c>
      <c r="N85" s="48">
        <f>R85-O85</f>
        <v>577.325</v>
      </c>
      <c r="O85" s="48">
        <f>O3</f>
        <v>5.175</v>
      </c>
      <c r="P85" s="81">
        <f>P57</f>
        <v>18.6</v>
      </c>
      <c r="Q85" s="48">
        <f>N85-L85</f>
        <v>0.07500000000004547</v>
      </c>
      <c r="R85" s="81">
        <f>R57</f>
        <v>582.5</v>
      </c>
      <c r="S85" s="82">
        <f>(O85*2)*PI()*(90/360)</f>
        <v>8.12887099116359</v>
      </c>
      <c r="T85" s="82">
        <f aca="true" t="shared" si="106" ref="T85:T107">R85+((C85*J85)-(J85/2))</f>
        <v>598.25</v>
      </c>
      <c r="U85" s="48">
        <f>SQRT((POWER((V85-(K85+O85)),2))+(POWER(T85-(R85+(E85*J85)-(J85/2)),2)))+((9-D85)*0.45)</f>
        <v>1854.6640615602691</v>
      </c>
      <c r="V85" s="81">
        <f>V57</f>
        <v>2733.1</v>
      </c>
      <c r="W85" s="81">
        <f>W57</f>
        <v>611</v>
      </c>
      <c r="X85" s="48">
        <f>12.5+((23-C85)*J85)+(J85/2)</f>
        <v>12.85</v>
      </c>
      <c r="Y85" s="82">
        <f>(X85*2)*PI()*(90/360)</f>
        <v>20.18473279931442</v>
      </c>
      <c r="Z85" s="81">
        <f>Z57</f>
        <v>750</v>
      </c>
      <c r="AA85" s="81">
        <f>Z85-W85</f>
        <v>139</v>
      </c>
      <c r="AB85" s="82">
        <f aca="true" t="shared" si="107" ref="AB85:AB106">SQRT((POWER((AD85-Z85),2))+(POWER(((AC85-AE85)-(V85+X85)),2)))</f>
        <v>320.6676940385484</v>
      </c>
      <c r="AC85" s="81">
        <f>AC57</f>
        <v>2787.3</v>
      </c>
      <c r="AD85" s="81">
        <f>AD57</f>
        <v>1070.4</v>
      </c>
      <c r="AE85" s="81">
        <f>12.5+(C85*J85)-(J85/2)</f>
        <v>28.249999999999996</v>
      </c>
      <c r="AF85" s="81">
        <f>AF57</f>
        <v>1076</v>
      </c>
      <c r="AG85" s="82">
        <f>(AE85*2)*PI()*(90/360)</f>
        <v>44.37499623195582</v>
      </c>
      <c r="AH85" s="82">
        <f>SQRT((POWER((AI85-AC85),2))+(POWER(((AJ85-AK85)-(AD85+AE85)),2)))</f>
        <v>405.69116332501</v>
      </c>
      <c r="AI85" s="81">
        <f>AI57</f>
        <v>3192.9</v>
      </c>
      <c r="AJ85" s="81">
        <f>AJ57</f>
        <v>1100.4</v>
      </c>
      <c r="AK85" s="48">
        <f>10+((23-C85)*J85)+(J85/2)</f>
        <v>10.35</v>
      </c>
      <c r="AL85" s="296">
        <v>93.2046</v>
      </c>
      <c r="AM85" s="47">
        <v>1</v>
      </c>
      <c r="AN85" s="81">
        <f>AN57</f>
        <v>66</v>
      </c>
      <c r="AO85" s="46">
        <v>22.09</v>
      </c>
      <c r="AP85" s="49">
        <f>P85+Q85+S85+U85+Y85+AA85+AB85+AG85+AH85+AL85+AN85+AO85</f>
        <v>2992.6811189462614</v>
      </c>
      <c r="AQ85" s="97">
        <v>70</v>
      </c>
      <c r="AR85" s="14">
        <f aca="true" t="shared" si="108" ref="AR85:AR107">G85*4*2</f>
        <v>24</v>
      </c>
    </row>
    <row r="86" spans="1:44" s="14" customFormat="1" ht="12.75">
      <c r="A86" s="62"/>
      <c r="B86" s="62"/>
      <c r="C86" s="62">
        <v>22</v>
      </c>
      <c r="D86" s="63">
        <v>1</v>
      </c>
      <c r="E86" s="63">
        <v>2</v>
      </c>
      <c r="F86" s="64" t="s">
        <v>180</v>
      </c>
      <c r="G86" s="64">
        <v>3</v>
      </c>
      <c r="H86" s="65">
        <f>H85</f>
        <v>0.35</v>
      </c>
      <c r="I86" s="65">
        <f>I85</f>
        <v>2</v>
      </c>
      <c r="J86" s="65">
        <f>H86*I86</f>
        <v>0.7</v>
      </c>
      <c r="K86" s="65">
        <f aca="true" t="shared" si="109" ref="K86:K107">K58</f>
        <v>889.175</v>
      </c>
      <c r="L86" s="65">
        <f>L85</f>
        <v>577.25</v>
      </c>
      <c r="M86" s="65">
        <f aca="true" t="shared" si="110" ref="M86:M107">K86+O86</f>
        <v>894.3499999999999</v>
      </c>
      <c r="N86" s="66">
        <f aca="true" t="shared" si="111" ref="N86:N107">R86-O86</f>
        <v>577.325</v>
      </c>
      <c r="O86" s="66">
        <f>O85</f>
        <v>5.175</v>
      </c>
      <c r="P86" s="65">
        <f>P85</f>
        <v>18.6</v>
      </c>
      <c r="Q86" s="66">
        <f aca="true" t="shared" si="112" ref="Q86:Q107">N86-L86</f>
        <v>0.07500000000004547</v>
      </c>
      <c r="R86" s="65">
        <f>R85</f>
        <v>582.5</v>
      </c>
      <c r="S86" s="66">
        <f aca="true" t="shared" si="113" ref="S86:S107">(O86*2)*PI()*(90/360)</f>
        <v>8.12887099116359</v>
      </c>
      <c r="T86" s="66">
        <f t="shared" si="106"/>
        <v>597.55</v>
      </c>
      <c r="U86" s="66">
        <f aca="true" t="shared" si="114" ref="U86:U107">SQRT((POWER((V86-(K86+O86)),2))+(POWER(T86-(R86+(E86*J86)-(J86/2)),2)))+((9-D86)*0.45)</f>
        <v>1842.4032963044197</v>
      </c>
      <c r="V86" s="65">
        <f>V85</f>
        <v>2733.1</v>
      </c>
      <c r="W86" s="65">
        <f aca="true" t="shared" si="115" ref="W86:W107">W85</f>
        <v>611</v>
      </c>
      <c r="X86" s="66">
        <f aca="true" t="shared" si="116" ref="X86:X107">12.5+((23-C86)*J86)+(J86/2)</f>
        <v>13.549999999999999</v>
      </c>
      <c r="Y86" s="66">
        <f aca="true" t="shared" si="117" ref="Y86:Y107">(X86*2)*PI()*(90/360)</f>
        <v>21.284290228070848</v>
      </c>
      <c r="Z86" s="65">
        <f>Z85</f>
        <v>750</v>
      </c>
      <c r="AA86" s="65">
        <f aca="true" t="shared" si="118" ref="AA86:AA107">Z86-W86</f>
        <v>139</v>
      </c>
      <c r="AB86" s="66">
        <f t="shared" si="107"/>
        <v>320.66769403854835</v>
      </c>
      <c r="AC86" s="65">
        <f>AC85</f>
        <v>2787.3</v>
      </c>
      <c r="AD86" s="65">
        <f>AD85</f>
        <v>1070.4</v>
      </c>
      <c r="AE86" s="65">
        <f aca="true" t="shared" si="119" ref="AE86:AE107">12.5+(C86*J86)-(J86/2)</f>
        <v>27.549999999999997</v>
      </c>
      <c r="AF86" s="65">
        <f>AF85</f>
        <v>1076</v>
      </c>
      <c r="AG86" s="66">
        <f aca="true" t="shared" si="120" ref="AG86:AG107">(AE86*2)*PI()*(90/360)</f>
        <v>43.27543880319939</v>
      </c>
      <c r="AH86" s="66">
        <f aca="true" t="shared" si="121" ref="AH86:AH107">SQRT((POWER((AI86-AC86),2))+(POWER(((AJ86-AK86)-(AD86+AE86)),2)))</f>
        <v>405.69116332501</v>
      </c>
      <c r="AI86" s="65">
        <f aca="true" t="shared" si="122" ref="AI86:AI107">AI85</f>
        <v>3192.9</v>
      </c>
      <c r="AJ86" s="65">
        <f aca="true" t="shared" si="123" ref="AJ86:AJ107">AJ85</f>
        <v>1100.4</v>
      </c>
      <c r="AK86" s="66">
        <f aca="true" t="shared" si="124" ref="AK86:AK107">10+((23-C86)*J86)+(J86/2)</f>
        <v>11.049999999999999</v>
      </c>
      <c r="AL86" s="298">
        <v>93.6718</v>
      </c>
      <c r="AM86" s="65">
        <v>2</v>
      </c>
      <c r="AN86" s="65">
        <f aca="true" t="shared" si="125" ref="AN86:AN107">AN58</f>
        <v>22</v>
      </c>
      <c r="AO86" s="65">
        <f>AO85</f>
        <v>22.09</v>
      </c>
      <c r="AP86" s="68">
        <f aca="true" t="shared" si="126" ref="AP86:AP107">P86+Q86+S86+U86+Y86+AA86+AB86+AG86+AH86+AL86+AN86+AO86</f>
        <v>2936.8875536904125</v>
      </c>
      <c r="AQ86" s="98">
        <v>71</v>
      </c>
      <c r="AR86" s="14">
        <f t="shared" si="108"/>
        <v>24</v>
      </c>
    </row>
    <row r="87" spans="1:44" s="14" customFormat="1" ht="12.75">
      <c r="A87" s="69">
        <v>3</v>
      </c>
      <c r="B87" s="69"/>
      <c r="C87" s="69">
        <v>21</v>
      </c>
      <c r="D87" s="70">
        <v>2</v>
      </c>
      <c r="E87" s="70">
        <v>1</v>
      </c>
      <c r="F87" s="71" t="s">
        <v>181</v>
      </c>
      <c r="G87" s="71">
        <v>3</v>
      </c>
      <c r="H87" s="72">
        <f aca="true" t="shared" si="127" ref="H87:H107">H86</f>
        <v>0.35</v>
      </c>
      <c r="I87" s="72">
        <f aca="true" t="shared" si="128" ref="I87:I107">I86</f>
        <v>2</v>
      </c>
      <c r="J87" s="72">
        <f aca="true" t="shared" si="129" ref="J87:J107">H87*I87</f>
        <v>0.7</v>
      </c>
      <c r="K87" s="72">
        <f t="shared" si="109"/>
        <v>957.125</v>
      </c>
      <c r="L87" s="72">
        <f aca="true" t="shared" si="130" ref="L87:L107">L86</f>
        <v>577.25</v>
      </c>
      <c r="M87" s="72">
        <f t="shared" si="110"/>
        <v>962.3</v>
      </c>
      <c r="N87" s="73">
        <f t="shared" si="111"/>
        <v>577.325</v>
      </c>
      <c r="O87" s="73">
        <f aca="true" t="shared" si="131" ref="O87:O107">O86</f>
        <v>5.175</v>
      </c>
      <c r="P87" s="72">
        <f aca="true" t="shared" si="132" ref="P87:P107">P86</f>
        <v>18.6</v>
      </c>
      <c r="Q87" s="73">
        <f t="shared" si="112"/>
        <v>0.07500000000004547</v>
      </c>
      <c r="R87" s="72">
        <f aca="true" t="shared" si="133" ref="R87:R107">R86</f>
        <v>582.5</v>
      </c>
      <c r="S87" s="73">
        <f t="shared" si="113"/>
        <v>8.12887099116359</v>
      </c>
      <c r="T87" s="73">
        <f t="shared" si="106"/>
        <v>596.85</v>
      </c>
      <c r="U87" s="73">
        <f t="shared" si="114"/>
        <v>1774.0053413534376</v>
      </c>
      <c r="V87" s="72">
        <f aca="true" t="shared" si="134" ref="V87:V107">V86</f>
        <v>2733.1</v>
      </c>
      <c r="W87" s="72">
        <f t="shared" si="115"/>
        <v>611</v>
      </c>
      <c r="X87" s="73">
        <f t="shared" si="116"/>
        <v>14.25</v>
      </c>
      <c r="Y87" s="73">
        <f t="shared" si="117"/>
        <v>22.383847656827275</v>
      </c>
      <c r="Z87" s="72">
        <f aca="true" t="shared" si="135" ref="Z87:Z107">Z86</f>
        <v>750</v>
      </c>
      <c r="AA87" s="72">
        <f t="shared" si="118"/>
        <v>139</v>
      </c>
      <c r="AB87" s="73">
        <f t="shared" si="107"/>
        <v>320.6676940385484</v>
      </c>
      <c r="AC87" s="72">
        <f aca="true" t="shared" si="136" ref="AC87:AC107">AC86</f>
        <v>2787.3</v>
      </c>
      <c r="AD87" s="72">
        <f aca="true" t="shared" si="137" ref="AD87:AD107">AD86</f>
        <v>1070.4</v>
      </c>
      <c r="AE87" s="72">
        <f t="shared" si="119"/>
        <v>26.849999999999998</v>
      </c>
      <c r="AF87" s="72">
        <f aca="true" t="shared" si="138" ref="AF87:AF107">AF86</f>
        <v>1076</v>
      </c>
      <c r="AG87" s="73">
        <f t="shared" si="120"/>
        <v>42.175881374442966</v>
      </c>
      <c r="AH87" s="73">
        <f t="shared" si="121"/>
        <v>405.69116332501</v>
      </c>
      <c r="AI87" s="72">
        <f t="shared" si="122"/>
        <v>3192.9</v>
      </c>
      <c r="AJ87" s="72">
        <f t="shared" si="123"/>
        <v>1100.4</v>
      </c>
      <c r="AK87" s="73">
        <f t="shared" si="124"/>
        <v>11.75</v>
      </c>
      <c r="AL87" s="299">
        <v>94.644</v>
      </c>
      <c r="AM87" s="72">
        <v>1</v>
      </c>
      <c r="AN87" s="72">
        <f t="shared" si="125"/>
        <v>110</v>
      </c>
      <c r="AO87" s="72">
        <f aca="true" t="shared" si="139" ref="AO87:AO107">AO86</f>
        <v>22.09</v>
      </c>
      <c r="AP87" s="75">
        <f t="shared" si="126"/>
        <v>2957.4617987394304</v>
      </c>
      <c r="AQ87" s="99">
        <v>72</v>
      </c>
      <c r="AR87" s="14">
        <f t="shared" si="108"/>
        <v>24</v>
      </c>
    </row>
    <row r="88" spans="1:44" s="14" customFormat="1" ht="12.75">
      <c r="A88" s="50"/>
      <c r="B88" s="50"/>
      <c r="C88" s="50">
        <v>20</v>
      </c>
      <c r="D88" s="51">
        <v>2</v>
      </c>
      <c r="E88" s="51">
        <v>2</v>
      </c>
      <c r="F88" s="52" t="s">
        <v>180</v>
      </c>
      <c r="G88" s="52">
        <v>3</v>
      </c>
      <c r="H88" s="53">
        <f t="shared" si="127"/>
        <v>0.35</v>
      </c>
      <c r="I88" s="53">
        <f t="shared" si="128"/>
        <v>2</v>
      </c>
      <c r="J88" s="53">
        <f t="shared" si="129"/>
        <v>0.7</v>
      </c>
      <c r="K88" s="53">
        <f t="shared" si="109"/>
        <v>969.375</v>
      </c>
      <c r="L88" s="53">
        <f t="shared" si="130"/>
        <v>577.25</v>
      </c>
      <c r="M88" s="53">
        <f t="shared" si="110"/>
        <v>974.55</v>
      </c>
      <c r="N88" s="54">
        <f t="shared" si="111"/>
        <v>577.325</v>
      </c>
      <c r="O88" s="54">
        <f t="shared" si="131"/>
        <v>5.175</v>
      </c>
      <c r="P88" s="53">
        <f t="shared" si="132"/>
        <v>18.6</v>
      </c>
      <c r="Q88" s="54">
        <f t="shared" si="112"/>
        <v>0.07500000000004547</v>
      </c>
      <c r="R88" s="53">
        <f t="shared" si="133"/>
        <v>582.5</v>
      </c>
      <c r="S88" s="54">
        <f t="shared" si="113"/>
        <v>8.12887099116359</v>
      </c>
      <c r="T88" s="54">
        <f t="shared" si="106"/>
        <v>596.15</v>
      </c>
      <c r="U88" s="54">
        <f t="shared" si="114"/>
        <v>1761.7451388821703</v>
      </c>
      <c r="V88" s="53">
        <f t="shared" si="134"/>
        <v>2733.1</v>
      </c>
      <c r="W88" s="53">
        <f t="shared" si="115"/>
        <v>611</v>
      </c>
      <c r="X88" s="54">
        <f t="shared" si="116"/>
        <v>14.95</v>
      </c>
      <c r="Y88" s="54">
        <f t="shared" si="117"/>
        <v>23.4834050855837</v>
      </c>
      <c r="Z88" s="53">
        <f t="shared" si="135"/>
        <v>750</v>
      </c>
      <c r="AA88" s="53">
        <f t="shared" si="118"/>
        <v>139</v>
      </c>
      <c r="AB88" s="54">
        <f t="shared" si="107"/>
        <v>320.6676940385484</v>
      </c>
      <c r="AC88" s="53">
        <f t="shared" si="136"/>
        <v>2787.3</v>
      </c>
      <c r="AD88" s="53">
        <f t="shared" si="137"/>
        <v>1070.4</v>
      </c>
      <c r="AE88" s="53">
        <f t="shared" si="119"/>
        <v>26.15</v>
      </c>
      <c r="AF88" s="53">
        <f t="shared" si="138"/>
        <v>1076</v>
      </c>
      <c r="AG88" s="54">
        <f t="shared" si="120"/>
        <v>41.07632394568654</v>
      </c>
      <c r="AH88" s="54">
        <f t="shared" si="121"/>
        <v>405.69116332501</v>
      </c>
      <c r="AI88" s="53">
        <f t="shared" si="122"/>
        <v>3192.9</v>
      </c>
      <c r="AJ88" s="53">
        <f t="shared" si="123"/>
        <v>1100.4</v>
      </c>
      <c r="AK88" s="54">
        <f t="shared" si="124"/>
        <v>12.45</v>
      </c>
      <c r="AL88" s="300">
        <v>95.0639</v>
      </c>
      <c r="AM88" s="53">
        <v>2</v>
      </c>
      <c r="AN88" s="53">
        <f t="shared" si="125"/>
        <v>66</v>
      </c>
      <c r="AO88" s="53">
        <f t="shared" si="139"/>
        <v>22.09</v>
      </c>
      <c r="AP88" s="55">
        <f t="shared" si="126"/>
        <v>2901.621496268163</v>
      </c>
      <c r="AQ88" s="100">
        <v>73</v>
      </c>
      <c r="AR88" s="14">
        <f t="shared" si="108"/>
        <v>24</v>
      </c>
    </row>
    <row r="89" spans="1:44" s="14" customFormat="1" ht="12.75">
      <c r="A89" s="50"/>
      <c r="B89" s="50"/>
      <c r="C89" s="50">
        <v>19</v>
      </c>
      <c r="D89" s="51">
        <v>2</v>
      </c>
      <c r="E89" s="51">
        <v>3</v>
      </c>
      <c r="F89" s="52" t="s">
        <v>55</v>
      </c>
      <c r="G89" s="52">
        <v>3</v>
      </c>
      <c r="H89" s="53">
        <f t="shared" si="127"/>
        <v>0.35</v>
      </c>
      <c r="I89" s="53">
        <f t="shared" si="128"/>
        <v>2</v>
      </c>
      <c r="J89" s="53">
        <f t="shared" si="129"/>
        <v>0.7</v>
      </c>
      <c r="K89" s="53">
        <f t="shared" si="109"/>
        <v>981.625</v>
      </c>
      <c r="L89" s="53">
        <f t="shared" si="130"/>
        <v>577.25</v>
      </c>
      <c r="M89" s="53">
        <f t="shared" si="110"/>
        <v>986.8</v>
      </c>
      <c r="N89" s="54">
        <f t="shared" si="111"/>
        <v>577.325</v>
      </c>
      <c r="O89" s="54">
        <f t="shared" si="131"/>
        <v>5.175</v>
      </c>
      <c r="P89" s="53">
        <f t="shared" si="132"/>
        <v>18.6</v>
      </c>
      <c r="Q89" s="54">
        <f t="shared" si="112"/>
        <v>0.07500000000004547</v>
      </c>
      <c r="R89" s="53">
        <f t="shared" si="133"/>
        <v>582.5</v>
      </c>
      <c r="S89" s="54">
        <f t="shared" si="113"/>
        <v>8.12887099116359</v>
      </c>
      <c r="T89" s="54">
        <f t="shared" si="106"/>
        <v>595.45</v>
      </c>
      <c r="U89" s="54">
        <f t="shared" si="114"/>
        <v>1749.48591556722</v>
      </c>
      <c r="V89" s="53">
        <f t="shared" si="134"/>
        <v>2733.1</v>
      </c>
      <c r="W89" s="53">
        <f t="shared" si="115"/>
        <v>611</v>
      </c>
      <c r="X89" s="54">
        <f t="shared" si="116"/>
        <v>15.65</v>
      </c>
      <c r="Y89" s="54">
        <f t="shared" si="117"/>
        <v>24.58296251434013</v>
      </c>
      <c r="Z89" s="53">
        <f t="shared" si="135"/>
        <v>750</v>
      </c>
      <c r="AA89" s="53">
        <f t="shared" si="118"/>
        <v>139</v>
      </c>
      <c r="AB89" s="54">
        <f t="shared" si="107"/>
        <v>320.6676940385484</v>
      </c>
      <c r="AC89" s="53">
        <f t="shared" si="136"/>
        <v>2787.3</v>
      </c>
      <c r="AD89" s="53">
        <f t="shared" si="137"/>
        <v>1070.4</v>
      </c>
      <c r="AE89" s="53">
        <f t="shared" si="119"/>
        <v>25.449999999999996</v>
      </c>
      <c r="AF89" s="53">
        <f t="shared" si="138"/>
        <v>1076</v>
      </c>
      <c r="AG89" s="54">
        <f t="shared" si="120"/>
        <v>39.97676651693011</v>
      </c>
      <c r="AH89" s="54">
        <f t="shared" si="121"/>
        <v>405.69116332501</v>
      </c>
      <c r="AI89" s="53">
        <f t="shared" si="122"/>
        <v>3192.9</v>
      </c>
      <c r="AJ89" s="53">
        <f t="shared" si="123"/>
        <v>1100.4</v>
      </c>
      <c r="AK89" s="54">
        <f t="shared" si="124"/>
        <v>13.15</v>
      </c>
      <c r="AL89" s="300">
        <v>95.4845</v>
      </c>
      <c r="AM89" s="53">
        <v>3</v>
      </c>
      <c r="AN89" s="53">
        <f t="shared" si="125"/>
        <v>22</v>
      </c>
      <c r="AO89" s="53">
        <f t="shared" si="139"/>
        <v>22.09</v>
      </c>
      <c r="AP89" s="55">
        <f t="shared" si="126"/>
        <v>2845.7828729532125</v>
      </c>
      <c r="AQ89" s="100">
        <v>74</v>
      </c>
      <c r="AR89" s="14">
        <f t="shared" si="108"/>
        <v>24</v>
      </c>
    </row>
    <row r="90" spans="1:44" s="14" customFormat="1" ht="12.75">
      <c r="A90" s="69">
        <v>3</v>
      </c>
      <c r="B90" s="69"/>
      <c r="C90" s="69">
        <v>18</v>
      </c>
      <c r="D90" s="70">
        <v>3</v>
      </c>
      <c r="E90" s="70">
        <v>1</v>
      </c>
      <c r="F90" s="71" t="s">
        <v>181</v>
      </c>
      <c r="G90" s="71">
        <v>3</v>
      </c>
      <c r="H90" s="72">
        <f t="shared" si="127"/>
        <v>0.35</v>
      </c>
      <c r="I90" s="72">
        <f t="shared" si="128"/>
        <v>2</v>
      </c>
      <c r="J90" s="72">
        <f t="shared" si="129"/>
        <v>0.7</v>
      </c>
      <c r="K90" s="72">
        <f t="shared" si="109"/>
        <v>1114.625</v>
      </c>
      <c r="L90" s="72">
        <f t="shared" si="130"/>
        <v>577.25</v>
      </c>
      <c r="M90" s="72">
        <f t="shared" si="110"/>
        <v>1119.8</v>
      </c>
      <c r="N90" s="73">
        <f t="shared" si="111"/>
        <v>577.325</v>
      </c>
      <c r="O90" s="73">
        <f t="shared" si="131"/>
        <v>5.175</v>
      </c>
      <c r="P90" s="72">
        <f t="shared" si="132"/>
        <v>18.6</v>
      </c>
      <c r="Q90" s="73">
        <f t="shared" si="112"/>
        <v>0.07500000000004547</v>
      </c>
      <c r="R90" s="72">
        <f t="shared" si="133"/>
        <v>582.5</v>
      </c>
      <c r="S90" s="73">
        <f t="shared" si="113"/>
        <v>8.12887099116359</v>
      </c>
      <c r="T90" s="73">
        <f t="shared" si="106"/>
        <v>594.75</v>
      </c>
      <c r="U90" s="73">
        <f t="shared" si="114"/>
        <v>1616.0438877065235</v>
      </c>
      <c r="V90" s="72">
        <f t="shared" si="134"/>
        <v>2733.1</v>
      </c>
      <c r="W90" s="72">
        <f t="shared" si="115"/>
        <v>611</v>
      </c>
      <c r="X90" s="73">
        <f t="shared" si="116"/>
        <v>16.35</v>
      </c>
      <c r="Y90" s="73">
        <f t="shared" si="117"/>
        <v>25.682519943096562</v>
      </c>
      <c r="Z90" s="72">
        <f t="shared" si="135"/>
        <v>750</v>
      </c>
      <c r="AA90" s="72">
        <f t="shared" si="118"/>
        <v>139</v>
      </c>
      <c r="AB90" s="73">
        <f t="shared" si="107"/>
        <v>320.6676940385484</v>
      </c>
      <c r="AC90" s="72">
        <f t="shared" si="136"/>
        <v>2787.3</v>
      </c>
      <c r="AD90" s="72">
        <f t="shared" si="137"/>
        <v>1070.4</v>
      </c>
      <c r="AE90" s="72">
        <f t="shared" si="119"/>
        <v>24.75</v>
      </c>
      <c r="AF90" s="72">
        <f t="shared" si="138"/>
        <v>1076</v>
      </c>
      <c r="AG90" s="73">
        <f t="shared" si="120"/>
        <v>38.87720908817369</v>
      </c>
      <c r="AH90" s="73">
        <f t="shared" si="121"/>
        <v>405.69116332501</v>
      </c>
      <c r="AI90" s="72">
        <f t="shared" si="122"/>
        <v>3192.9</v>
      </c>
      <c r="AJ90" s="72">
        <f t="shared" si="123"/>
        <v>1100.4</v>
      </c>
      <c r="AK90" s="73">
        <f t="shared" si="124"/>
        <v>13.85</v>
      </c>
      <c r="AL90" s="299">
        <v>99.9531</v>
      </c>
      <c r="AM90" s="72">
        <v>1</v>
      </c>
      <c r="AN90" s="72">
        <f t="shared" si="125"/>
        <v>110</v>
      </c>
      <c r="AO90" s="72">
        <f t="shared" si="139"/>
        <v>22.09</v>
      </c>
      <c r="AP90" s="75">
        <f t="shared" si="126"/>
        <v>2804.8094450925164</v>
      </c>
      <c r="AQ90" s="99">
        <v>75</v>
      </c>
      <c r="AR90" s="14">
        <f t="shared" si="108"/>
        <v>24</v>
      </c>
    </row>
    <row r="91" spans="1:44" s="14" customFormat="1" ht="12.75">
      <c r="A91" s="50"/>
      <c r="B91" s="50"/>
      <c r="C91" s="50">
        <v>17</v>
      </c>
      <c r="D91" s="51">
        <v>3</v>
      </c>
      <c r="E91" s="51">
        <v>2</v>
      </c>
      <c r="F91" s="52" t="s">
        <v>180</v>
      </c>
      <c r="G91" s="52">
        <v>3</v>
      </c>
      <c r="H91" s="53">
        <f t="shared" si="127"/>
        <v>0.35</v>
      </c>
      <c r="I91" s="53">
        <f t="shared" si="128"/>
        <v>2</v>
      </c>
      <c r="J91" s="53">
        <f t="shared" si="129"/>
        <v>0.7</v>
      </c>
      <c r="K91" s="53">
        <f t="shared" si="109"/>
        <v>1126.875</v>
      </c>
      <c r="L91" s="53">
        <f t="shared" si="130"/>
        <v>577.25</v>
      </c>
      <c r="M91" s="53">
        <f t="shared" si="110"/>
        <v>1132.05</v>
      </c>
      <c r="N91" s="54">
        <f t="shared" si="111"/>
        <v>577.325</v>
      </c>
      <c r="O91" s="54">
        <f t="shared" si="131"/>
        <v>5.175</v>
      </c>
      <c r="P91" s="53">
        <f t="shared" si="132"/>
        <v>18.6</v>
      </c>
      <c r="Q91" s="54">
        <f t="shared" si="112"/>
        <v>0.07500000000004547</v>
      </c>
      <c r="R91" s="53">
        <f t="shared" si="133"/>
        <v>582.5</v>
      </c>
      <c r="S91" s="54">
        <f t="shared" si="113"/>
        <v>8.12887099116359</v>
      </c>
      <c r="T91" s="54">
        <f t="shared" si="106"/>
        <v>594.05</v>
      </c>
      <c r="U91" s="54">
        <f t="shared" si="114"/>
        <v>1603.784430159759</v>
      </c>
      <c r="V91" s="53">
        <f t="shared" si="134"/>
        <v>2733.1</v>
      </c>
      <c r="W91" s="53">
        <f t="shared" si="115"/>
        <v>611</v>
      </c>
      <c r="X91" s="54">
        <f t="shared" si="116"/>
        <v>17.05</v>
      </c>
      <c r="Y91" s="54">
        <f t="shared" si="117"/>
        <v>26.78207737185299</v>
      </c>
      <c r="Z91" s="53">
        <f t="shared" si="135"/>
        <v>750</v>
      </c>
      <c r="AA91" s="53">
        <f t="shared" si="118"/>
        <v>139</v>
      </c>
      <c r="AB91" s="54">
        <f t="shared" si="107"/>
        <v>320.66769403854835</v>
      </c>
      <c r="AC91" s="53">
        <f t="shared" si="136"/>
        <v>2787.3</v>
      </c>
      <c r="AD91" s="53">
        <f t="shared" si="137"/>
        <v>1070.4</v>
      </c>
      <c r="AE91" s="53">
        <f t="shared" si="119"/>
        <v>24.049999999999997</v>
      </c>
      <c r="AF91" s="53">
        <f t="shared" si="138"/>
        <v>1076</v>
      </c>
      <c r="AG91" s="54">
        <f t="shared" si="120"/>
        <v>37.77765165941726</v>
      </c>
      <c r="AH91" s="54">
        <f t="shared" si="121"/>
        <v>405.69116332501</v>
      </c>
      <c r="AI91" s="53">
        <f t="shared" si="122"/>
        <v>3192.9</v>
      </c>
      <c r="AJ91" s="53">
        <f t="shared" si="123"/>
        <v>1100.4</v>
      </c>
      <c r="AK91" s="54">
        <f t="shared" si="124"/>
        <v>14.549999999999999</v>
      </c>
      <c r="AL91" s="300">
        <v>100.3281</v>
      </c>
      <c r="AM91" s="53">
        <v>2</v>
      </c>
      <c r="AN91" s="53">
        <f t="shared" si="125"/>
        <v>66</v>
      </c>
      <c r="AO91" s="53">
        <f t="shared" si="139"/>
        <v>22.09</v>
      </c>
      <c r="AP91" s="55">
        <f t="shared" si="126"/>
        <v>2748.9249875457517</v>
      </c>
      <c r="AQ91" s="100">
        <v>76</v>
      </c>
      <c r="AR91" s="14">
        <f t="shared" si="108"/>
        <v>24</v>
      </c>
    </row>
    <row r="92" spans="1:44" s="14" customFormat="1" ht="12.75">
      <c r="A92" s="50"/>
      <c r="B92" s="50"/>
      <c r="C92" s="50">
        <v>16</v>
      </c>
      <c r="D92" s="51">
        <v>3</v>
      </c>
      <c r="E92" s="51">
        <v>3</v>
      </c>
      <c r="F92" s="52" t="s">
        <v>55</v>
      </c>
      <c r="G92" s="52">
        <v>3</v>
      </c>
      <c r="H92" s="53">
        <f t="shared" si="127"/>
        <v>0.35</v>
      </c>
      <c r="I92" s="53">
        <f t="shared" si="128"/>
        <v>2</v>
      </c>
      <c r="J92" s="53">
        <f t="shared" si="129"/>
        <v>0.7</v>
      </c>
      <c r="K92" s="53">
        <f t="shared" si="109"/>
        <v>1139.125</v>
      </c>
      <c r="L92" s="53">
        <f t="shared" si="130"/>
        <v>577.25</v>
      </c>
      <c r="M92" s="53">
        <f t="shared" si="110"/>
        <v>1144.3</v>
      </c>
      <c r="N92" s="54">
        <f t="shared" si="111"/>
        <v>577.325</v>
      </c>
      <c r="O92" s="54">
        <f t="shared" si="131"/>
        <v>5.175</v>
      </c>
      <c r="P92" s="53">
        <f t="shared" si="132"/>
        <v>18.6</v>
      </c>
      <c r="Q92" s="54">
        <f t="shared" si="112"/>
        <v>0.07500000000004547</v>
      </c>
      <c r="R92" s="53">
        <f t="shared" si="133"/>
        <v>582.5</v>
      </c>
      <c r="S92" s="54">
        <f t="shared" si="113"/>
        <v>8.12887099116359</v>
      </c>
      <c r="T92" s="54">
        <f t="shared" si="106"/>
        <v>593.35</v>
      </c>
      <c r="U92" s="54">
        <f t="shared" si="114"/>
        <v>1591.5260603351142</v>
      </c>
      <c r="V92" s="53">
        <f t="shared" si="134"/>
        <v>2733.1</v>
      </c>
      <c r="W92" s="53">
        <f t="shared" si="115"/>
        <v>611</v>
      </c>
      <c r="X92" s="54">
        <f t="shared" si="116"/>
        <v>17.75</v>
      </c>
      <c r="Y92" s="54">
        <f t="shared" si="117"/>
        <v>27.881634800609415</v>
      </c>
      <c r="Z92" s="53">
        <f t="shared" si="135"/>
        <v>750</v>
      </c>
      <c r="AA92" s="53">
        <f t="shared" si="118"/>
        <v>139</v>
      </c>
      <c r="AB92" s="54">
        <f t="shared" si="107"/>
        <v>320.6676940385484</v>
      </c>
      <c r="AC92" s="53">
        <f t="shared" si="136"/>
        <v>2787.3</v>
      </c>
      <c r="AD92" s="53">
        <f t="shared" si="137"/>
        <v>1070.4</v>
      </c>
      <c r="AE92" s="53">
        <f t="shared" si="119"/>
        <v>23.349999999999998</v>
      </c>
      <c r="AF92" s="53">
        <f t="shared" si="138"/>
        <v>1076</v>
      </c>
      <c r="AG92" s="54">
        <f t="shared" si="120"/>
        <v>36.67809423066083</v>
      </c>
      <c r="AH92" s="54">
        <f t="shared" si="121"/>
        <v>405.69116332501</v>
      </c>
      <c r="AI92" s="53">
        <f t="shared" si="122"/>
        <v>3192.9</v>
      </c>
      <c r="AJ92" s="53">
        <f t="shared" si="123"/>
        <v>1100.4</v>
      </c>
      <c r="AK92" s="54">
        <f t="shared" si="124"/>
        <v>15.249999999999998</v>
      </c>
      <c r="AL92" s="300">
        <v>100.7023</v>
      </c>
      <c r="AM92" s="53">
        <v>3</v>
      </c>
      <c r="AN92" s="53">
        <f t="shared" si="125"/>
        <v>22</v>
      </c>
      <c r="AO92" s="53">
        <f t="shared" si="139"/>
        <v>22.09</v>
      </c>
      <c r="AP92" s="55">
        <f t="shared" si="126"/>
        <v>2693.0408177211066</v>
      </c>
      <c r="AQ92" s="100">
        <v>77</v>
      </c>
      <c r="AR92" s="14">
        <f t="shared" si="108"/>
        <v>24</v>
      </c>
    </row>
    <row r="93" spans="1:44" s="14" customFormat="1" ht="12.75">
      <c r="A93" s="69">
        <v>3</v>
      </c>
      <c r="B93" s="69"/>
      <c r="C93" s="69">
        <v>15</v>
      </c>
      <c r="D93" s="70">
        <v>4</v>
      </c>
      <c r="E93" s="70">
        <v>1</v>
      </c>
      <c r="F93" s="71" t="s">
        <v>181</v>
      </c>
      <c r="G93" s="71">
        <v>3</v>
      </c>
      <c r="H93" s="72">
        <f t="shared" si="127"/>
        <v>0.35</v>
      </c>
      <c r="I93" s="72">
        <f t="shared" si="128"/>
        <v>2</v>
      </c>
      <c r="J93" s="72">
        <f t="shared" si="129"/>
        <v>0.7</v>
      </c>
      <c r="K93" s="72">
        <f t="shared" si="109"/>
        <v>1323.025</v>
      </c>
      <c r="L93" s="72">
        <f t="shared" si="130"/>
        <v>577.25</v>
      </c>
      <c r="M93" s="72">
        <f t="shared" si="110"/>
        <v>1328.2</v>
      </c>
      <c r="N93" s="73">
        <f t="shared" si="111"/>
        <v>577.325</v>
      </c>
      <c r="O93" s="73">
        <f t="shared" si="131"/>
        <v>5.175</v>
      </c>
      <c r="P93" s="72">
        <f t="shared" si="132"/>
        <v>18.6</v>
      </c>
      <c r="Q93" s="73">
        <f t="shared" si="112"/>
        <v>0.07500000000004547</v>
      </c>
      <c r="R93" s="72">
        <f t="shared" si="133"/>
        <v>582.5</v>
      </c>
      <c r="S93" s="73">
        <f t="shared" si="113"/>
        <v>8.12887099116359</v>
      </c>
      <c r="T93" s="73">
        <f t="shared" si="106"/>
        <v>592.65</v>
      </c>
      <c r="U93" s="73">
        <f t="shared" si="114"/>
        <v>1407.1841799529257</v>
      </c>
      <c r="V93" s="72">
        <f t="shared" si="134"/>
        <v>2733.1</v>
      </c>
      <c r="W93" s="72">
        <f t="shared" si="115"/>
        <v>611</v>
      </c>
      <c r="X93" s="73">
        <f t="shared" si="116"/>
        <v>18.450000000000003</v>
      </c>
      <c r="Y93" s="73">
        <f t="shared" si="117"/>
        <v>28.981192229365845</v>
      </c>
      <c r="Z93" s="72">
        <f t="shared" si="135"/>
        <v>750</v>
      </c>
      <c r="AA93" s="72">
        <f t="shared" si="118"/>
        <v>139</v>
      </c>
      <c r="AB93" s="73">
        <f t="shared" si="107"/>
        <v>320.6676940385484</v>
      </c>
      <c r="AC93" s="72">
        <f t="shared" si="136"/>
        <v>2787.3</v>
      </c>
      <c r="AD93" s="72">
        <f t="shared" si="137"/>
        <v>1070.4</v>
      </c>
      <c r="AE93" s="72">
        <f t="shared" si="119"/>
        <v>22.65</v>
      </c>
      <c r="AF93" s="72">
        <f t="shared" si="138"/>
        <v>1076</v>
      </c>
      <c r="AG93" s="73">
        <f t="shared" si="120"/>
        <v>35.578536801904406</v>
      </c>
      <c r="AH93" s="73">
        <f t="shared" si="121"/>
        <v>405.69116332501</v>
      </c>
      <c r="AI93" s="72">
        <f t="shared" si="122"/>
        <v>3192.9</v>
      </c>
      <c r="AJ93" s="72">
        <f t="shared" si="123"/>
        <v>1100.4</v>
      </c>
      <c r="AK93" s="73">
        <f t="shared" si="124"/>
        <v>15.95</v>
      </c>
      <c r="AL93" s="299">
        <v>108.1451</v>
      </c>
      <c r="AM93" s="72">
        <v>1</v>
      </c>
      <c r="AN93" s="72">
        <f t="shared" si="125"/>
        <v>110</v>
      </c>
      <c r="AO93" s="72">
        <f t="shared" si="139"/>
        <v>22.09</v>
      </c>
      <c r="AP93" s="75">
        <f t="shared" si="126"/>
        <v>2604.1417373389186</v>
      </c>
      <c r="AQ93" s="99">
        <v>78</v>
      </c>
      <c r="AR93" s="14">
        <f t="shared" si="108"/>
        <v>24</v>
      </c>
    </row>
    <row r="94" spans="1:44" s="14" customFormat="1" ht="12.75">
      <c r="A94" s="50"/>
      <c r="B94" s="50"/>
      <c r="C94" s="50">
        <v>14</v>
      </c>
      <c r="D94" s="51">
        <v>4</v>
      </c>
      <c r="E94" s="51">
        <v>2</v>
      </c>
      <c r="F94" s="52" t="s">
        <v>180</v>
      </c>
      <c r="G94" s="52">
        <v>3</v>
      </c>
      <c r="H94" s="53">
        <f t="shared" si="127"/>
        <v>0.35</v>
      </c>
      <c r="I94" s="53">
        <f t="shared" si="128"/>
        <v>2</v>
      </c>
      <c r="J94" s="53">
        <f t="shared" si="129"/>
        <v>0.7</v>
      </c>
      <c r="K94" s="53">
        <f t="shared" si="109"/>
        <v>1335.275</v>
      </c>
      <c r="L94" s="53">
        <f t="shared" si="130"/>
        <v>577.25</v>
      </c>
      <c r="M94" s="53">
        <f t="shared" si="110"/>
        <v>1340.45</v>
      </c>
      <c r="N94" s="54">
        <f t="shared" si="111"/>
        <v>577.325</v>
      </c>
      <c r="O94" s="54">
        <f t="shared" si="131"/>
        <v>5.175</v>
      </c>
      <c r="P94" s="53">
        <f t="shared" si="132"/>
        <v>18.6</v>
      </c>
      <c r="Q94" s="54">
        <f t="shared" si="112"/>
        <v>0.07500000000004547</v>
      </c>
      <c r="R94" s="53">
        <f t="shared" si="133"/>
        <v>582.5</v>
      </c>
      <c r="S94" s="54">
        <f t="shared" si="113"/>
        <v>8.12887099116359</v>
      </c>
      <c r="T94" s="54">
        <f t="shared" si="106"/>
        <v>591.95</v>
      </c>
      <c r="U94" s="54">
        <f t="shared" si="114"/>
        <v>1394.925332767835</v>
      </c>
      <c r="V94" s="53">
        <f t="shared" si="134"/>
        <v>2733.1</v>
      </c>
      <c r="W94" s="53">
        <f t="shared" si="115"/>
        <v>611</v>
      </c>
      <c r="X94" s="54">
        <f t="shared" si="116"/>
        <v>19.150000000000002</v>
      </c>
      <c r="Y94" s="54">
        <f t="shared" si="117"/>
        <v>30.080749658122272</v>
      </c>
      <c r="Z94" s="53">
        <f t="shared" si="135"/>
        <v>750</v>
      </c>
      <c r="AA94" s="53">
        <f t="shared" si="118"/>
        <v>139</v>
      </c>
      <c r="AB94" s="54">
        <f t="shared" si="107"/>
        <v>320.6676940385484</v>
      </c>
      <c r="AC94" s="53">
        <f t="shared" si="136"/>
        <v>2787.3</v>
      </c>
      <c r="AD94" s="53">
        <f t="shared" si="137"/>
        <v>1070.4</v>
      </c>
      <c r="AE94" s="53">
        <f t="shared" si="119"/>
        <v>21.949999999999996</v>
      </c>
      <c r="AF94" s="53">
        <f t="shared" si="138"/>
        <v>1076</v>
      </c>
      <c r="AG94" s="54">
        <f t="shared" si="120"/>
        <v>34.47897937314797</v>
      </c>
      <c r="AH94" s="54">
        <f t="shared" si="121"/>
        <v>405.69116332501</v>
      </c>
      <c r="AI94" s="53">
        <f t="shared" si="122"/>
        <v>3192.9</v>
      </c>
      <c r="AJ94" s="53">
        <f t="shared" si="123"/>
        <v>1100.4</v>
      </c>
      <c r="AK94" s="54">
        <f t="shared" si="124"/>
        <v>16.650000000000002</v>
      </c>
      <c r="AL94" s="300">
        <v>108.479</v>
      </c>
      <c r="AM94" s="53">
        <v>2</v>
      </c>
      <c r="AN94" s="53">
        <f t="shared" si="125"/>
        <v>66</v>
      </c>
      <c r="AO94" s="53">
        <f t="shared" si="139"/>
        <v>22.09</v>
      </c>
      <c r="AP94" s="55">
        <f t="shared" si="126"/>
        <v>2548.2167901538273</v>
      </c>
      <c r="AQ94" s="100">
        <v>79</v>
      </c>
      <c r="AR94" s="14">
        <f t="shared" si="108"/>
        <v>24</v>
      </c>
    </row>
    <row r="95" spans="1:44" s="14" customFormat="1" ht="12.75">
      <c r="A95" s="50"/>
      <c r="B95" s="50"/>
      <c r="C95" s="50">
        <v>13</v>
      </c>
      <c r="D95" s="51">
        <v>4</v>
      </c>
      <c r="E95" s="51">
        <v>3</v>
      </c>
      <c r="F95" s="52" t="s">
        <v>55</v>
      </c>
      <c r="G95" s="52">
        <v>3</v>
      </c>
      <c r="H95" s="53">
        <f t="shared" si="127"/>
        <v>0.35</v>
      </c>
      <c r="I95" s="53">
        <f t="shared" si="128"/>
        <v>2</v>
      </c>
      <c r="J95" s="53">
        <f t="shared" si="129"/>
        <v>0.7</v>
      </c>
      <c r="K95" s="53">
        <f t="shared" si="109"/>
        <v>1347.525</v>
      </c>
      <c r="L95" s="53">
        <f t="shared" si="130"/>
        <v>577.25</v>
      </c>
      <c r="M95" s="53">
        <f t="shared" si="110"/>
        <v>1352.7</v>
      </c>
      <c r="N95" s="54">
        <f t="shared" si="111"/>
        <v>577.325</v>
      </c>
      <c r="O95" s="54">
        <f t="shared" si="131"/>
        <v>5.175</v>
      </c>
      <c r="P95" s="53">
        <f t="shared" si="132"/>
        <v>18.6</v>
      </c>
      <c r="Q95" s="54">
        <f t="shared" si="112"/>
        <v>0.07500000000004547</v>
      </c>
      <c r="R95" s="53">
        <f t="shared" si="133"/>
        <v>582.5</v>
      </c>
      <c r="S95" s="54">
        <f t="shared" si="113"/>
        <v>8.12887099116359</v>
      </c>
      <c r="T95" s="54">
        <f t="shared" si="106"/>
        <v>591.25</v>
      </c>
      <c r="U95" s="54">
        <f t="shared" si="114"/>
        <v>1382.6677483646026</v>
      </c>
      <c r="V95" s="53">
        <f t="shared" si="134"/>
        <v>2733.1</v>
      </c>
      <c r="W95" s="53">
        <f t="shared" si="115"/>
        <v>611</v>
      </c>
      <c r="X95" s="54">
        <f t="shared" si="116"/>
        <v>19.85</v>
      </c>
      <c r="Y95" s="54">
        <f t="shared" si="117"/>
        <v>31.1803070868787</v>
      </c>
      <c r="Z95" s="53">
        <f t="shared" si="135"/>
        <v>750</v>
      </c>
      <c r="AA95" s="53">
        <f t="shared" si="118"/>
        <v>139</v>
      </c>
      <c r="AB95" s="54">
        <f t="shared" si="107"/>
        <v>320.6676940385484</v>
      </c>
      <c r="AC95" s="53">
        <f t="shared" si="136"/>
        <v>2787.3</v>
      </c>
      <c r="AD95" s="53">
        <f t="shared" si="137"/>
        <v>1070.4</v>
      </c>
      <c r="AE95" s="53">
        <f t="shared" si="119"/>
        <v>21.25</v>
      </c>
      <c r="AF95" s="53">
        <f t="shared" si="138"/>
        <v>1076</v>
      </c>
      <c r="AG95" s="54">
        <f t="shared" si="120"/>
        <v>33.37942194439155</v>
      </c>
      <c r="AH95" s="54">
        <f t="shared" si="121"/>
        <v>405.69116332501</v>
      </c>
      <c r="AI95" s="53">
        <f t="shared" si="122"/>
        <v>3192.9</v>
      </c>
      <c r="AJ95" s="53">
        <f t="shared" si="123"/>
        <v>1100.4</v>
      </c>
      <c r="AK95" s="54">
        <f t="shared" si="124"/>
        <v>17.35</v>
      </c>
      <c r="AL95" s="300">
        <v>108.8137</v>
      </c>
      <c r="AM95" s="53">
        <v>3</v>
      </c>
      <c r="AN95" s="53">
        <f t="shared" si="125"/>
        <v>22</v>
      </c>
      <c r="AO95" s="53">
        <f t="shared" si="139"/>
        <v>22.09</v>
      </c>
      <c r="AP95" s="55">
        <f t="shared" si="126"/>
        <v>2492.2939057505955</v>
      </c>
      <c r="AQ95" s="100">
        <v>80</v>
      </c>
      <c r="AR95" s="14">
        <f t="shared" si="108"/>
        <v>24</v>
      </c>
    </row>
    <row r="96" spans="1:44" s="14" customFormat="1" ht="12.75">
      <c r="A96" s="69">
        <v>3</v>
      </c>
      <c r="B96" s="69"/>
      <c r="C96" s="69">
        <v>12</v>
      </c>
      <c r="D96" s="70">
        <v>5</v>
      </c>
      <c r="E96" s="70">
        <v>1</v>
      </c>
      <c r="F96" s="71" t="s">
        <v>181</v>
      </c>
      <c r="G96" s="71">
        <v>3</v>
      </c>
      <c r="H96" s="72">
        <f t="shared" si="127"/>
        <v>0.35</v>
      </c>
      <c r="I96" s="72">
        <f t="shared" si="128"/>
        <v>2</v>
      </c>
      <c r="J96" s="72">
        <f t="shared" si="129"/>
        <v>0.7</v>
      </c>
      <c r="K96" s="72">
        <f t="shared" si="109"/>
        <v>1422.825</v>
      </c>
      <c r="L96" s="72">
        <f t="shared" si="130"/>
        <v>577.25</v>
      </c>
      <c r="M96" s="72">
        <f t="shared" si="110"/>
        <v>1428</v>
      </c>
      <c r="N96" s="73">
        <f t="shared" si="111"/>
        <v>577.325</v>
      </c>
      <c r="O96" s="73">
        <f t="shared" si="131"/>
        <v>5.175</v>
      </c>
      <c r="P96" s="72">
        <f t="shared" si="132"/>
        <v>18.6</v>
      </c>
      <c r="Q96" s="73">
        <f t="shared" si="112"/>
        <v>0.07500000000004547</v>
      </c>
      <c r="R96" s="72">
        <f t="shared" si="133"/>
        <v>582.5</v>
      </c>
      <c r="S96" s="73">
        <f t="shared" si="113"/>
        <v>8.12887099116359</v>
      </c>
      <c r="T96" s="73">
        <f t="shared" si="106"/>
        <v>590.55</v>
      </c>
      <c r="U96" s="73">
        <f t="shared" si="114"/>
        <v>1306.922714536836</v>
      </c>
      <c r="V96" s="72">
        <f t="shared" si="134"/>
        <v>2733.1</v>
      </c>
      <c r="W96" s="72">
        <f t="shared" si="115"/>
        <v>611</v>
      </c>
      <c r="X96" s="73">
        <f t="shared" si="116"/>
        <v>20.55</v>
      </c>
      <c r="Y96" s="73">
        <f t="shared" si="117"/>
        <v>32.279864515635126</v>
      </c>
      <c r="Z96" s="72">
        <f t="shared" si="135"/>
        <v>750</v>
      </c>
      <c r="AA96" s="72">
        <f t="shared" si="118"/>
        <v>139</v>
      </c>
      <c r="AB96" s="73">
        <f t="shared" si="107"/>
        <v>320.66769403854835</v>
      </c>
      <c r="AC96" s="72">
        <f t="shared" si="136"/>
        <v>2787.3</v>
      </c>
      <c r="AD96" s="72">
        <f t="shared" si="137"/>
        <v>1070.4</v>
      </c>
      <c r="AE96" s="72">
        <f t="shared" si="119"/>
        <v>20.549999999999997</v>
      </c>
      <c r="AF96" s="72">
        <f t="shared" si="138"/>
        <v>1076</v>
      </c>
      <c r="AG96" s="73">
        <f t="shared" si="120"/>
        <v>32.27986451563512</v>
      </c>
      <c r="AH96" s="73">
        <f t="shared" si="121"/>
        <v>405.69116332501</v>
      </c>
      <c r="AI96" s="72">
        <f t="shared" si="122"/>
        <v>3192.9</v>
      </c>
      <c r="AJ96" s="72">
        <f t="shared" si="123"/>
        <v>1100.4</v>
      </c>
      <c r="AK96" s="73">
        <f t="shared" si="124"/>
        <v>18.05</v>
      </c>
      <c r="AL96" s="299">
        <v>118.7582</v>
      </c>
      <c r="AM96" s="72">
        <v>1</v>
      </c>
      <c r="AN96" s="72">
        <f t="shared" si="125"/>
        <v>110</v>
      </c>
      <c r="AO96" s="72">
        <f t="shared" si="139"/>
        <v>22.09</v>
      </c>
      <c r="AP96" s="75">
        <f t="shared" si="126"/>
        <v>2514.493371922829</v>
      </c>
      <c r="AQ96" s="99">
        <v>81</v>
      </c>
      <c r="AR96" s="14">
        <f t="shared" si="108"/>
        <v>24</v>
      </c>
    </row>
    <row r="97" spans="1:44" s="14" customFormat="1" ht="12.75">
      <c r="A97" s="50"/>
      <c r="B97" s="50"/>
      <c r="C97" s="50">
        <v>11</v>
      </c>
      <c r="D97" s="51">
        <v>5</v>
      </c>
      <c r="E97" s="51">
        <v>2</v>
      </c>
      <c r="F97" s="52" t="s">
        <v>180</v>
      </c>
      <c r="G97" s="52">
        <v>3</v>
      </c>
      <c r="H97" s="53">
        <f t="shared" si="127"/>
        <v>0.35</v>
      </c>
      <c r="I97" s="53">
        <f t="shared" si="128"/>
        <v>2</v>
      </c>
      <c r="J97" s="53">
        <f t="shared" si="129"/>
        <v>0.7</v>
      </c>
      <c r="K97" s="53">
        <f t="shared" si="109"/>
        <v>1435.075</v>
      </c>
      <c r="L97" s="53">
        <f t="shared" si="130"/>
        <v>577.25</v>
      </c>
      <c r="M97" s="53">
        <f t="shared" si="110"/>
        <v>1440.25</v>
      </c>
      <c r="N97" s="54">
        <f t="shared" si="111"/>
        <v>577.325</v>
      </c>
      <c r="O97" s="54">
        <f t="shared" si="131"/>
        <v>5.175</v>
      </c>
      <c r="P97" s="53">
        <f t="shared" si="132"/>
        <v>18.6</v>
      </c>
      <c r="Q97" s="54">
        <f t="shared" si="112"/>
        <v>0.07500000000004547</v>
      </c>
      <c r="R97" s="53">
        <f t="shared" si="133"/>
        <v>582.5</v>
      </c>
      <c r="S97" s="54">
        <f t="shared" si="113"/>
        <v>8.12887099116359</v>
      </c>
      <c r="T97" s="54">
        <f t="shared" si="106"/>
        <v>589.85</v>
      </c>
      <c r="U97" s="54">
        <f t="shared" si="114"/>
        <v>1294.6653497174404</v>
      </c>
      <c r="V97" s="53">
        <f t="shared" si="134"/>
        <v>2733.1</v>
      </c>
      <c r="W97" s="53">
        <f t="shared" si="115"/>
        <v>611</v>
      </c>
      <c r="X97" s="54">
        <f t="shared" si="116"/>
        <v>21.25</v>
      </c>
      <c r="Y97" s="54">
        <f t="shared" si="117"/>
        <v>33.37942194439155</v>
      </c>
      <c r="Z97" s="53">
        <f t="shared" si="135"/>
        <v>750</v>
      </c>
      <c r="AA97" s="53">
        <f t="shared" si="118"/>
        <v>139</v>
      </c>
      <c r="AB97" s="54">
        <f t="shared" si="107"/>
        <v>320.6676940385484</v>
      </c>
      <c r="AC97" s="53">
        <f t="shared" si="136"/>
        <v>2787.3</v>
      </c>
      <c r="AD97" s="53">
        <f t="shared" si="137"/>
        <v>1070.4</v>
      </c>
      <c r="AE97" s="53">
        <f t="shared" si="119"/>
        <v>19.849999999999998</v>
      </c>
      <c r="AF97" s="53">
        <f t="shared" si="138"/>
        <v>1076</v>
      </c>
      <c r="AG97" s="54">
        <f t="shared" si="120"/>
        <v>31.180307086878692</v>
      </c>
      <c r="AH97" s="54">
        <f t="shared" si="121"/>
        <v>405.69116332501</v>
      </c>
      <c r="AI97" s="53">
        <f t="shared" si="122"/>
        <v>3192.9</v>
      </c>
      <c r="AJ97" s="53">
        <f t="shared" si="123"/>
        <v>1100.4</v>
      </c>
      <c r="AK97" s="54">
        <f t="shared" si="124"/>
        <v>18.75</v>
      </c>
      <c r="AL97" s="300">
        <v>119.051</v>
      </c>
      <c r="AM97" s="53">
        <v>2</v>
      </c>
      <c r="AN97" s="53">
        <f t="shared" si="125"/>
        <v>66</v>
      </c>
      <c r="AO97" s="53">
        <f t="shared" si="139"/>
        <v>22.09</v>
      </c>
      <c r="AP97" s="55">
        <f t="shared" si="126"/>
        <v>2458.528807103433</v>
      </c>
      <c r="AQ97" s="100">
        <v>82</v>
      </c>
      <c r="AR97" s="14">
        <f t="shared" si="108"/>
        <v>24</v>
      </c>
    </row>
    <row r="98" spans="1:44" s="14" customFormat="1" ht="12.75">
      <c r="A98" s="50"/>
      <c r="B98" s="50"/>
      <c r="C98" s="50">
        <v>10</v>
      </c>
      <c r="D98" s="51">
        <v>5</v>
      </c>
      <c r="E98" s="51">
        <v>3</v>
      </c>
      <c r="F98" s="52" t="s">
        <v>55</v>
      </c>
      <c r="G98" s="52">
        <v>3</v>
      </c>
      <c r="H98" s="53">
        <f t="shared" si="127"/>
        <v>0.35</v>
      </c>
      <c r="I98" s="53">
        <f t="shared" si="128"/>
        <v>2</v>
      </c>
      <c r="J98" s="53">
        <f t="shared" si="129"/>
        <v>0.7</v>
      </c>
      <c r="K98" s="53">
        <f t="shared" si="109"/>
        <v>1447.325</v>
      </c>
      <c r="L98" s="53">
        <f t="shared" si="130"/>
        <v>577.25</v>
      </c>
      <c r="M98" s="53">
        <f t="shared" si="110"/>
        <v>1452.5</v>
      </c>
      <c r="N98" s="54">
        <f t="shared" si="111"/>
        <v>577.325</v>
      </c>
      <c r="O98" s="54">
        <f t="shared" si="131"/>
        <v>5.175</v>
      </c>
      <c r="P98" s="53">
        <f t="shared" si="132"/>
        <v>18.6</v>
      </c>
      <c r="Q98" s="54">
        <f t="shared" si="112"/>
        <v>0.07500000000004547</v>
      </c>
      <c r="R98" s="53">
        <f t="shared" si="133"/>
        <v>582.5</v>
      </c>
      <c r="S98" s="54">
        <f t="shared" si="113"/>
        <v>8.12887099116359</v>
      </c>
      <c r="T98" s="54">
        <f t="shared" si="106"/>
        <v>589.15</v>
      </c>
      <c r="U98" s="54">
        <f t="shared" si="114"/>
        <v>1282.409374477635</v>
      </c>
      <c r="V98" s="53">
        <f t="shared" si="134"/>
        <v>2733.1</v>
      </c>
      <c r="W98" s="53">
        <f t="shared" si="115"/>
        <v>611</v>
      </c>
      <c r="X98" s="54">
        <f t="shared" si="116"/>
        <v>21.950000000000003</v>
      </c>
      <c r="Y98" s="54">
        <f t="shared" si="117"/>
        <v>34.478979373147986</v>
      </c>
      <c r="Z98" s="53">
        <f t="shared" si="135"/>
        <v>750</v>
      </c>
      <c r="AA98" s="53">
        <f t="shared" si="118"/>
        <v>139</v>
      </c>
      <c r="AB98" s="54">
        <f t="shared" si="107"/>
        <v>320.6676940385484</v>
      </c>
      <c r="AC98" s="53">
        <f t="shared" si="136"/>
        <v>2787.3</v>
      </c>
      <c r="AD98" s="53">
        <f t="shared" si="137"/>
        <v>1070.4</v>
      </c>
      <c r="AE98" s="53">
        <f t="shared" si="119"/>
        <v>19.15</v>
      </c>
      <c r="AF98" s="53">
        <f t="shared" si="138"/>
        <v>1076</v>
      </c>
      <c r="AG98" s="54">
        <f t="shared" si="120"/>
        <v>30.080749658122265</v>
      </c>
      <c r="AH98" s="54">
        <f t="shared" si="121"/>
        <v>405.69116332501</v>
      </c>
      <c r="AI98" s="53">
        <f t="shared" si="122"/>
        <v>3192.9</v>
      </c>
      <c r="AJ98" s="53">
        <f t="shared" si="123"/>
        <v>1100.4</v>
      </c>
      <c r="AK98" s="54">
        <f t="shared" si="124"/>
        <v>19.450000000000003</v>
      </c>
      <c r="AL98" s="300">
        <v>119.3533</v>
      </c>
      <c r="AM98" s="53">
        <v>3</v>
      </c>
      <c r="AN98" s="53">
        <f t="shared" si="125"/>
        <v>22</v>
      </c>
      <c r="AO98" s="53">
        <f t="shared" si="139"/>
        <v>22.09</v>
      </c>
      <c r="AP98" s="55">
        <f t="shared" si="126"/>
        <v>2402.5751318636276</v>
      </c>
      <c r="AQ98" s="100">
        <v>83</v>
      </c>
      <c r="AR98" s="14">
        <f t="shared" si="108"/>
        <v>24</v>
      </c>
    </row>
    <row r="99" spans="1:44" s="14" customFormat="1" ht="12.75">
      <c r="A99" s="69">
        <v>3</v>
      </c>
      <c r="B99" s="69"/>
      <c r="C99" s="69">
        <v>9</v>
      </c>
      <c r="D99" s="70">
        <v>6</v>
      </c>
      <c r="E99" s="70">
        <v>1</v>
      </c>
      <c r="F99" s="71" t="s">
        <v>181</v>
      </c>
      <c r="G99" s="71">
        <v>3</v>
      </c>
      <c r="H99" s="72">
        <f t="shared" si="127"/>
        <v>0.35</v>
      </c>
      <c r="I99" s="72">
        <f t="shared" si="128"/>
        <v>2</v>
      </c>
      <c r="J99" s="72">
        <f t="shared" si="129"/>
        <v>0.7</v>
      </c>
      <c r="K99" s="72">
        <f t="shared" si="109"/>
        <v>1794.525</v>
      </c>
      <c r="L99" s="72">
        <f t="shared" si="130"/>
        <v>577.25</v>
      </c>
      <c r="M99" s="72">
        <f t="shared" si="110"/>
        <v>1799.7</v>
      </c>
      <c r="N99" s="73">
        <f t="shared" si="111"/>
        <v>577.325</v>
      </c>
      <c r="O99" s="73">
        <f t="shared" si="131"/>
        <v>5.175</v>
      </c>
      <c r="P99" s="72">
        <f t="shared" si="132"/>
        <v>18.6</v>
      </c>
      <c r="Q99" s="73">
        <f t="shared" si="112"/>
        <v>0.07500000000004547</v>
      </c>
      <c r="R99" s="72">
        <f t="shared" si="133"/>
        <v>582.5</v>
      </c>
      <c r="S99" s="73">
        <f t="shared" si="113"/>
        <v>8.12887099116359</v>
      </c>
      <c r="T99" s="73">
        <f t="shared" si="106"/>
        <v>588.45</v>
      </c>
      <c r="U99" s="73">
        <f t="shared" si="114"/>
        <v>934.7667986489207</v>
      </c>
      <c r="V99" s="72">
        <f t="shared" si="134"/>
        <v>2733.1</v>
      </c>
      <c r="W99" s="72">
        <f t="shared" si="115"/>
        <v>611</v>
      </c>
      <c r="X99" s="73">
        <f t="shared" si="116"/>
        <v>22.65</v>
      </c>
      <c r="Y99" s="73">
        <f t="shared" si="117"/>
        <v>35.578536801904406</v>
      </c>
      <c r="Z99" s="72">
        <f t="shared" si="135"/>
        <v>750</v>
      </c>
      <c r="AA99" s="72">
        <f t="shared" si="118"/>
        <v>139</v>
      </c>
      <c r="AB99" s="73">
        <f t="shared" si="107"/>
        <v>320.6676940385484</v>
      </c>
      <c r="AC99" s="72">
        <f t="shared" si="136"/>
        <v>2787.3</v>
      </c>
      <c r="AD99" s="72">
        <f t="shared" si="137"/>
        <v>1070.4</v>
      </c>
      <c r="AE99" s="72">
        <f t="shared" si="119"/>
        <v>18.45</v>
      </c>
      <c r="AF99" s="72">
        <f t="shared" si="138"/>
        <v>1076</v>
      </c>
      <c r="AG99" s="73">
        <f t="shared" si="120"/>
        <v>28.981192229365842</v>
      </c>
      <c r="AH99" s="73">
        <f t="shared" si="121"/>
        <v>405.69116332501</v>
      </c>
      <c r="AI99" s="72">
        <f t="shared" si="122"/>
        <v>3192.9</v>
      </c>
      <c r="AJ99" s="72">
        <f t="shared" si="123"/>
        <v>1100.4</v>
      </c>
      <c r="AK99" s="73">
        <f t="shared" si="124"/>
        <v>20.15</v>
      </c>
      <c r="AL99" s="299">
        <v>131.1952</v>
      </c>
      <c r="AM99" s="72">
        <v>1</v>
      </c>
      <c r="AN99" s="72">
        <f t="shared" si="125"/>
        <v>110</v>
      </c>
      <c r="AO99" s="72">
        <f t="shared" si="139"/>
        <v>22.09</v>
      </c>
      <c r="AP99" s="75">
        <f t="shared" si="126"/>
        <v>2154.7744560349133</v>
      </c>
      <c r="AQ99" s="99">
        <v>84</v>
      </c>
      <c r="AR99" s="14">
        <f t="shared" si="108"/>
        <v>24</v>
      </c>
    </row>
    <row r="100" spans="1:44" s="14" customFormat="1" ht="12.75">
      <c r="A100" s="50"/>
      <c r="B100" s="50"/>
      <c r="C100" s="50">
        <v>8</v>
      </c>
      <c r="D100" s="51">
        <v>6</v>
      </c>
      <c r="E100" s="51">
        <v>2</v>
      </c>
      <c r="F100" s="52" t="s">
        <v>180</v>
      </c>
      <c r="G100" s="52">
        <v>3</v>
      </c>
      <c r="H100" s="53">
        <f t="shared" si="127"/>
        <v>0.35</v>
      </c>
      <c r="I100" s="53">
        <f t="shared" si="128"/>
        <v>2</v>
      </c>
      <c r="J100" s="53">
        <f t="shared" si="129"/>
        <v>0.7</v>
      </c>
      <c r="K100" s="53">
        <f t="shared" si="109"/>
        <v>1806.775</v>
      </c>
      <c r="L100" s="53">
        <f t="shared" si="130"/>
        <v>577.25</v>
      </c>
      <c r="M100" s="53">
        <f t="shared" si="110"/>
        <v>1811.95</v>
      </c>
      <c r="N100" s="54">
        <f t="shared" si="111"/>
        <v>577.325</v>
      </c>
      <c r="O100" s="54">
        <f t="shared" si="131"/>
        <v>5.175</v>
      </c>
      <c r="P100" s="53">
        <f t="shared" si="132"/>
        <v>18.6</v>
      </c>
      <c r="Q100" s="54">
        <f t="shared" si="112"/>
        <v>0.07500000000004547</v>
      </c>
      <c r="R100" s="53">
        <f t="shared" si="133"/>
        <v>582.5</v>
      </c>
      <c r="S100" s="54">
        <f t="shared" si="113"/>
        <v>8.12887099116359</v>
      </c>
      <c r="T100" s="54">
        <f t="shared" si="106"/>
        <v>587.75</v>
      </c>
      <c r="U100" s="54">
        <f t="shared" si="114"/>
        <v>922.5095749380233</v>
      </c>
      <c r="V100" s="53">
        <f t="shared" si="134"/>
        <v>2733.1</v>
      </c>
      <c r="W100" s="53">
        <f t="shared" si="115"/>
        <v>611</v>
      </c>
      <c r="X100" s="54">
        <f t="shared" si="116"/>
        <v>23.35</v>
      </c>
      <c r="Y100" s="54">
        <f t="shared" si="117"/>
        <v>36.67809423066084</v>
      </c>
      <c r="Z100" s="53">
        <f t="shared" si="135"/>
        <v>750</v>
      </c>
      <c r="AA100" s="53">
        <f t="shared" si="118"/>
        <v>139</v>
      </c>
      <c r="AB100" s="54">
        <f t="shared" si="107"/>
        <v>320.6676940385484</v>
      </c>
      <c r="AC100" s="53">
        <f t="shared" si="136"/>
        <v>2787.3</v>
      </c>
      <c r="AD100" s="53">
        <f t="shared" si="137"/>
        <v>1070.4</v>
      </c>
      <c r="AE100" s="53">
        <f t="shared" si="119"/>
        <v>17.75</v>
      </c>
      <c r="AF100" s="53">
        <f t="shared" si="138"/>
        <v>1076</v>
      </c>
      <c r="AG100" s="54">
        <f t="shared" si="120"/>
        <v>27.881634800609415</v>
      </c>
      <c r="AH100" s="54">
        <f t="shared" si="121"/>
        <v>405.69116332501</v>
      </c>
      <c r="AI100" s="53">
        <f t="shared" si="122"/>
        <v>3192.9</v>
      </c>
      <c r="AJ100" s="53">
        <f t="shared" si="123"/>
        <v>1100.4</v>
      </c>
      <c r="AK100" s="54">
        <f t="shared" si="124"/>
        <v>20.85</v>
      </c>
      <c r="AL100" s="300">
        <v>131.4344</v>
      </c>
      <c r="AM100" s="53">
        <v>2</v>
      </c>
      <c r="AN100" s="53">
        <f t="shared" si="125"/>
        <v>66</v>
      </c>
      <c r="AO100" s="53">
        <f t="shared" si="139"/>
        <v>22.09</v>
      </c>
      <c r="AP100" s="55">
        <f t="shared" si="126"/>
        <v>2098.756432324016</v>
      </c>
      <c r="AQ100" s="100">
        <v>85</v>
      </c>
      <c r="AR100" s="14">
        <f t="shared" si="108"/>
        <v>24</v>
      </c>
    </row>
    <row r="101" spans="1:44" s="14" customFormat="1" ht="13.5" thickBot="1">
      <c r="A101" s="50"/>
      <c r="B101" s="50"/>
      <c r="C101" s="50">
        <v>7</v>
      </c>
      <c r="D101" s="51">
        <v>6</v>
      </c>
      <c r="E101" s="51">
        <v>3</v>
      </c>
      <c r="F101" s="52" t="s">
        <v>55</v>
      </c>
      <c r="G101" s="52">
        <v>3</v>
      </c>
      <c r="H101" s="53">
        <f t="shared" si="127"/>
        <v>0.35</v>
      </c>
      <c r="I101" s="53">
        <f t="shared" si="128"/>
        <v>2</v>
      </c>
      <c r="J101" s="53">
        <f t="shared" si="129"/>
        <v>0.7</v>
      </c>
      <c r="K101" s="53">
        <f t="shared" si="109"/>
        <v>1819.025</v>
      </c>
      <c r="L101" s="53">
        <f t="shared" si="130"/>
        <v>577.25</v>
      </c>
      <c r="M101" s="53">
        <f t="shared" si="110"/>
        <v>1824.2</v>
      </c>
      <c r="N101" s="54">
        <f t="shared" si="111"/>
        <v>577.325</v>
      </c>
      <c r="O101" s="54">
        <f t="shared" si="131"/>
        <v>5.175</v>
      </c>
      <c r="P101" s="53">
        <f t="shared" si="132"/>
        <v>18.6</v>
      </c>
      <c r="Q101" s="54">
        <f t="shared" si="112"/>
        <v>0.07500000000004547</v>
      </c>
      <c r="R101" s="53">
        <f t="shared" si="133"/>
        <v>582.5</v>
      </c>
      <c r="S101" s="54">
        <f t="shared" si="113"/>
        <v>8.12887099116359</v>
      </c>
      <c r="T101" s="54">
        <f t="shared" si="106"/>
        <v>587.05</v>
      </c>
      <c r="U101" s="54">
        <f t="shared" si="114"/>
        <v>910.2543128954774</v>
      </c>
      <c r="V101" s="53">
        <f t="shared" si="134"/>
        <v>2733.1</v>
      </c>
      <c r="W101" s="53">
        <f t="shared" si="115"/>
        <v>611</v>
      </c>
      <c r="X101" s="54">
        <f t="shared" si="116"/>
        <v>24.05</v>
      </c>
      <c r="Y101" s="54">
        <f t="shared" si="117"/>
        <v>37.777651659417266</v>
      </c>
      <c r="Z101" s="53">
        <f t="shared" si="135"/>
        <v>750</v>
      </c>
      <c r="AA101" s="53">
        <f t="shared" si="118"/>
        <v>139</v>
      </c>
      <c r="AB101" s="54">
        <f t="shared" si="107"/>
        <v>320.66769403854835</v>
      </c>
      <c r="AC101" s="53">
        <f t="shared" si="136"/>
        <v>2787.3</v>
      </c>
      <c r="AD101" s="53">
        <f t="shared" si="137"/>
        <v>1070.4</v>
      </c>
      <c r="AE101" s="53">
        <f t="shared" si="119"/>
        <v>17.049999999999997</v>
      </c>
      <c r="AF101" s="53">
        <f t="shared" si="138"/>
        <v>1076</v>
      </c>
      <c r="AG101" s="54">
        <f t="shared" si="120"/>
        <v>26.78207737185298</v>
      </c>
      <c r="AH101" s="54">
        <f t="shared" si="121"/>
        <v>405.69116332501</v>
      </c>
      <c r="AI101" s="53">
        <f t="shared" si="122"/>
        <v>3192.9</v>
      </c>
      <c r="AJ101" s="53">
        <f t="shared" si="123"/>
        <v>1100.4</v>
      </c>
      <c r="AK101" s="54">
        <f t="shared" si="124"/>
        <v>21.55</v>
      </c>
      <c r="AL101" s="300">
        <v>131.7087</v>
      </c>
      <c r="AM101" s="53">
        <v>3</v>
      </c>
      <c r="AN101" s="53">
        <f t="shared" si="125"/>
        <v>22</v>
      </c>
      <c r="AO101" s="53">
        <f t="shared" si="139"/>
        <v>22.09</v>
      </c>
      <c r="AP101" s="55">
        <f t="shared" si="126"/>
        <v>2042.775470281469</v>
      </c>
      <c r="AQ101" s="100">
        <v>86</v>
      </c>
      <c r="AR101" s="14">
        <f t="shared" si="108"/>
        <v>24</v>
      </c>
    </row>
    <row r="102" spans="1:44" s="14" customFormat="1" ht="12.75">
      <c r="A102" s="69"/>
      <c r="B102" s="69">
        <v>3</v>
      </c>
      <c r="C102" s="69">
        <v>6</v>
      </c>
      <c r="D102" s="70">
        <v>7</v>
      </c>
      <c r="E102" s="70">
        <v>1</v>
      </c>
      <c r="F102" s="45" t="s">
        <v>54</v>
      </c>
      <c r="G102" s="71">
        <v>3</v>
      </c>
      <c r="H102" s="72">
        <f t="shared" si="127"/>
        <v>0.35</v>
      </c>
      <c r="I102" s="72">
        <f t="shared" si="128"/>
        <v>2</v>
      </c>
      <c r="J102" s="72">
        <f t="shared" si="129"/>
        <v>0.7</v>
      </c>
      <c r="K102" s="72">
        <f t="shared" si="109"/>
        <v>2138.325</v>
      </c>
      <c r="L102" s="72">
        <f t="shared" si="130"/>
        <v>577.25</v>
      </c>
      <c r="M102" s="72">
        <f t="shared" si="110"/>
        <v>2143.5</v>
      </c>
      <c r="N102" s="73">
        <f t="shared" si="111"/>
        <v>577.325</v>
      </c>
      <c r="O102" s="73">
        <f t="shared" si="131"/>
        <v>5.175</v>
      </c>
      <c r="P102" s="72">
        <f t="shared" si="132"/>
        <v>18.6</v>
      </c>
      <c r="Q102" s="73">
        <f t="shared" si="112"/>
        <v>0.07500000000004547</v>
      </c>
      <c r="R102" s="72">
        <f t="shared" si="133"/>
        <v>582.5</v>
      </c>
      <c r="S102" s="73">
        <f t="shared" si="113"/>
        <v>8.12887099116359</v>
      </c>
      <c r="T102" s="73">
        <f t="shared" si="106"/>
        <v>586.35</v>
      </c>
      <c r="U102" s="73">
        <f t="shared" si="114"/>
        <v>590.5103883073973</v>
      </c>
      <c r="V102" s="72">
        <f t="shared" si="134"/>
        <v>2733.1</v>
      </c>
      <c r="W102" s="72">
        <f t="shared" si="115"/>
        <v>611</v>
      </c>
      <c r="X102" s="73">
        <f t="shared" si="116"/>
        <v>24.75</v>
      </c>
      <c r="Y102" s="73">
        <f t="shared" si="117"/>
        <v>38.87720908817369</v>
      </c>
      <c r="Z102" s="72">
        <f t="shared" si="135"/>
        <v>750</v>
      </c>
      <c r="AA102" s="72">
        <f t="shared" si="118"/>
        <v>139</v>
      </c>
      <c r="AB102" s="73">
        <f t="shared" si="107"/>
        <v>320.6676940385484</v>
      </c>
      <c r="AC102" s="72">
        <f t="shared" si="136"/>
        <v>2787.3</v>
      </c>
      <c r="AD102" s="72">
        <f t="shared" si="137"/>
        <v>1070.4</v>
      </c>
      <c r="AE102" s="72">
        <f t="shared" si="119"/>
        <v>16.349999999999998</v>
      </c>
      <c r="AF102" s="72">
        <f t="shared" si="138"/>
        <v>1076</v>
      </c>
      <c r="AG102" s="73">
        <f t="shared" si="120"/>
        <v>25.682519943096555</v>
      </c>
      <c r="AH102" s="73">
        <f t="shared" si="121"/>
        <v>405.69116332501</v>
      </c>
      <c r="AI102" s="72">
        <f t="shared" si="122"/>
        <v>3192.9</v>
      </c>
      <c r="AJ102" s="72">
        <f t="shared" si="123"/>
        <v>1100.4</v>
      </c>
      <c r="AK102" s="73">
        <f t="shared" si="124"/>
        <v>22.25</v>
      </c>
      <c r="AL102" s="299">
        <v>180.4107</v>
      </c>
      <c r="AM102" s="72">
        <v>1</v>
      </c>
      <c r="AN102" s="72">
        <f t="shared" si="125"/>
        <v>66</v>
      </c>
      <c r="AO102" s="72">
        <f t="shared" si="139"/>
        <v>22.09</v>
      </c>
      <c r="AP102" s="75">
        <f t="shared" si="126"/>
        <v>1815.7335456933895</v>
      </c>
      <c r="AQ102" s="99">
        <v>87</v>
      </c>
      <c r="AR102" s="14">
        <f t="shared" si="108"/>
        <v>24</v>
      </c>
    </row>
    <row r="103" spans="1:44" s="14" customFormat="1" ht="13.5" thickBot="1">
      <c r="A103" s="50"/>
      <c r="B103" s="50"/>
      <c r="C103" s="50">
        <v>5</v>
      </c>
      <c r="D103" s="51">
        <v>7</v>
      </c>
      <c r="E103" s="51">
        <v>2</v>
      </c>
      <c r="F103" s="64" t="s">
        <v>180</v>
      </c>
      <c r="G103" s="52">
        <v>3</v>
      </c>
      <c r="H103" s="53">
        <f t="shared" si="127"/>
        <v>0.35</v>
      </c>
      <c r="I103" s="53">
        <f t="shared" si="128"/>
        <v>2</v>
      </c>
      <c r="J103" s="53">
        <f t="shared" si="129"/>
        <v>0.7</v>
      </c>
      <c r="K103" s="53">
        <f t="shared" si="109"/>
        <v>2150.575</v>
      </c>
      <c r="L103" s="53">
        <f t="shared" si="130"/>
        <v>577.25</v>
      </c>
      <c r="M103" s="53">
        <f t="shared" si="110"/>
        <v>2155.75</v>
      </c>
      <c r="N103" s="54">
        <f t="shared" si="111"/>
        <v>577.325</v>
      </c>
      <c r="O103" s="54">
        <f t="shared" si="131"/>
        <v>5.175</v>
      </c>
      <c r="P103" s="53">
        <f t="shared" si="132"/>
        <v>18.6</v>
      </c>
      <c r="Q103" s="54">
        <f t="shared" si="112"/>
        <v>0.07500000000004547</v>
      </c>
      <c r="R103" s="53">
        <f t="shared" si="133"/>
        <v>582.5</v>
      </c>
      <c r="S103" s="54">
        <f t="shared" si="113"/>
        <v>8.12887099116359</v>
      </c>
      <c r="T103" s="54">
        <f t="shared" si="106"/>
        <v>585.65</v>
      </c>
      <c r="U103" s="54">
        <f t="shared" si="114"/>
        <v>578.2538191611794</v>
      </c>
      <c r="V103" s="53">
        <f t="shared" si="134"/>
        <v>2733.1</v>
      </c>
      <c r="W103" s="53">
        <f t="shared" si="115"/>
        <v>611</v>
      </c>
      <c r="X103" s="54">
        <f t="shared" si="116"/>
        <v>25.450000000000003</v>
      </c>
      <c r="Y103" s="54">
        <f t="shared" si="117"/>
        <v>39.97676651693012</v>
      </c>
      <c r="Z103" s="53">
        <f t="shared" si="135"/>
        <v>750</v>
      </c>
      <c r="AA103" s="53">
        <f t="shared" si="118"/>
        <v>139</v>
      </c>
      <c r="AB103" s="54">
        <f t="shared" si="107"/>
        <v>320.6676940385484</v>
      </c>
      <c r="AC103" s="53">
        <f t="shared" si="136"/>
        <v>2787.3</v>
      </c>
      <c r="AD103" s="53">
        <f t="shared" si="137"/>
        <v>1070.4</v>
      </c>
      <c r="AE103" s="53">
        <f t="shared" si="119"/>
        <v>15.65</v>
      </c>
      <c r="AF103" s="53">
        <f t="shared" si="138"/>
        <v>1076</v>
      </c>
      <c r="AG103" s="54">
        <f t="shared" si="120"/>
        <v>24.58296251434013</v>
      </c>
      <c r="AH103" s="54">
        <f t="shared" si="121"/>
        <v>405.69116332501</v>
      </c>
      <c r="AI103" s="53">
        <f t="shared" si="122"/>
        <v>3192.9</v>
      </c>
      <c r="AJ103" s="53">
        <f t="shared" si="123"/>
        <v>1100.4</v>
      </c>
      <c r="AK103" s="54">
        <f t="shared" si="124"/>
        <v>22.950000000000003</v>
      </c>
      <c r="AL103" s="300">
        <v>180.6772</v>
      </c>
      <c r="AM103" s="53">
        <v>2</v>
      </c>
      <c r="AN103" s="53">
        <f t="shared" si="125"/>
        <v>22</v>
      </c>
      <c r="AO103" s="53">
        <f t="shared" si="139"/>
        <v>22.09</v>
      </c>
      <c r="AP103" s="55">
        <f t="shared" si="126"/>
        <v>1759.7434765471717</v>
      </c>
      <c r="AQ103" s="100">
        <v>88</v>
      </c>
      <c r="AR103" s="14">
        <f t="shared" si="108"/>
        <v>24</v>
      </c>
    </row>
    <row r="104" spans="1:44" s="14" customFormat="1" ht="12.75">
      <c r="A104" s="69"/>
      <c r="B104" s="69">
        <v>3</v>
      </c>
      <c r="C104" s="69">
        <v>4</v>
      </c>
      <c r="D104" s="70">
        <v>8</v>
      </c>
      <c r="E104" s="70">
        <v>1</v>
      </c>
      <c r="F104" s="45" t="s">
        <v>54</v>
      </c>
      <c r="G104" s="71">
        <v>3</v>
      </c>
      <c r="H104" s="72">
        <f t="shared" si="127"/>
        <v>0.35</v>
      </c>
      <c r="I104" s="72">
        <f t="shared" si="128"/>
        <v>2</v>
      </c>
      <c r="J104" s="72">
        <f t="shared" si="129"/>
        <v>0.7</v>
      </c>
      <c r="K104" s="72">
        <f t="shared" si="109"/>
        <v>2528.125</v>
      </c>
      <c r="L104" s="72">
        <f t="shared" si="130"/>
        <v>577.25</v>
      </c>
      <c r="M104" s="72">
        <f t="shared" si="110"/>
        <v>2533.3</v>
      </c>
      <c r="N104" s="73">
        <f t="shared" si="111"/>
        <v>577.325</v>
      </c>
      <c r="O104" s="73">
        <f t="shared" si="131"/>
        <v>5.175</v>
      </c>
      <c r="P104" s="72">
        <f t="shared" si="132"/>
        <v>18.6</v>
      </c>
      <c r="Q104" s="73">
        <f t="shared" si="112"/>
        <v>0.07500000000004547</v>
      </c>
      <c r="R104" s="72">
        <f t="shared" si="133"/>
        <v>582.5</v>
      </c>
      <c r="S104" s="73">
        <f t="shared" si="113"/>
        <v>8.12887099116359</v>
      </c>
      <c r="T104" s="73">
        <f t="shared" si="106"/>
        <v>584.95</v>
      </c>
      <c r="U104" s="73">
        <f t="shared" si="114"/>
        <v>200.26103573126258</v>
      </c>
      <c r="V104" s="72">
        <f t="shared" si="134"/>
        <v>2733.1</v>
      </c>
      <c r="W104" s="72">
        <f t="shared" si="115"/>
        <v>611</v>
      </c>
      <c r="X104" s="73">
        <f t="shared" si="116"/>
        <v>26.15</v>
      </c>
      <c r="Y104" s="73">
        <f t="shared" si="117"/>
        <v>41.07632394568654</v>
      </c>
      <c r="Z104" s="72">
        <f t="shared" si="135"/>
        <v>750</v>
      </c>
      <c r="AA104" s="72">
        <f t="shared" si="118"/>
        <v>139</v>
      </c>
      <c r="AB104" s="73">
        <f t="shared" si="107"/>
        <v>320.6676940385484</v>
      </c>
      <c r="AC104" s="72">
        <f t="shared" si="136"/>
        <v>2787.3</v>
      </c>
      <c r="AD104" s="72">
        <f t="shared" si="137"/>
        <v>1070.4</v>
      </c>
      <c r="AE104" s="72">
        <f t="shared" si="119"/>
        <v>14.950000000000001</v>
      </c>
      <c r="AF104" s="72">
        <f t="shared" si="138"/>
        <v>1076</v>
      </c>
      <c r="AG104" s="73">
        <f t="shared" si="120"/>
        <v>23.483405085583705</v>
      </c>
      <c r="AH104" s="73">
        <f t="shared" si="121"/>
        <v>405.69116332501</v>
      </c>
      <c r="AI104" s="72">
        <f t="shared" si="122"/>
        <v>3192.9</v>
      </c>
      <c r="AJ104" s="72">
        <f t="shared" si="123"/>
        <v>1100.4</v>
      </c>
      <c r="AK104" s="73">
        <f t="shared" si="124"/>
        <v>23.65</v>
      </c>
      <c r="AL104" s="299">
        <v>189.1822</v>
      </c>
      <c r="AM104" s="72">
        <v>1</v>
      </c>
      <c r="AN104" s="72">
        <f t="shared" si="125"/>
        <v>66</v>
      </c>
      <c r="AO104" s="72">
        <f t="shared" si="139"/>
        <v>22.09</v>
      </c>
      <c r="AP104" s="75">
        <f t="shared" si="126"/>
        <v>1434.2556931172549</v>
      </c>
      <c r="AQ104" s="99">
        <v>89</v>
      </c>
      <c r="AR104" s="14">
        <f t="shared" si="108"/>
        <v>24</v>
      </c>
    </row>
    <row r="105" spans="1:44" s="14" customFormat="1" ht="12.75">
      <c r="A105" s="50"/>
      <c r="B105" s="50"/>
      <c r="C105" s="50">
        <v>3</v>
      </c>
      <c r="D105" s="51">
        <v>8</v>
      </c>
      <c r="E105" s="51">
        <v>2</v>
      </c>
      <c r="F105" s="64" t="s">
        <v>180</v>
      </c>
      <c r="G105" s="52">
        <v>3</v>
      </c>
      <c r="H105" s="53">
        <f t="shared" si="127"/>
        <v>0.35</v>
      </c>
      <c r="I105" s="53">
        <f t="shared" si="128"/>
        <v>2</v>
      </c>
      <c r="J105" s="53">
        <f t="shared" si="129"/>
        <v>0.7</v>
      </c>
      <c r="K105" s="53">
        <f t="shared" si="109"/>
        <v>2540.375</v>
      </c>
      <c r="L105" s="53">
        <f t="shared" si="130"/>
        <v>577.25</v>
      </c>
      <c r="M105" s="53">
        <f t="shared" si="110"/>
        <v>2545.55</v>
      </c>
      <c r="N105" s="54">
        <f t="shared" si="111"/>
        <v>577.325</v>
      </c>
      <c r="O105" s="54">
        <f t="shared" si="131"/>
        <v>5.175</v>
      </c>
      <c r="P105" s="53">
        <f t="shared" si="132"/>
        <v>18.6</v>
      </c>
      <c r="Q105" s="54">
        <f t="shared" si="112"/>
        <v>0.07500000000004547</v>
      </c>
      <c r="R105" s="53">
        <f t="shared" si="133"/>
        <v>582.5</v>
      </c>
      <c r="S105" s="54">
        <f t="shared" si="113"/>
        <v>8.12887099116359</v>
      </c>
      <c r="T105" s="54">
        <f t="shared" si="106"/>
        <v>584.25</v>
      </c>
      <c r="U105" s="54">
        <f t="shared" si="114"/>
        <v>188.0013063137655</v>
      </c>
      <c r="V105" s="53">
        <f t="shared" si="134"/>
        <v>2733.1</v>
      </c>
      <c r="W105" s="53">
        <f t="shared" si="115"/>
        <v>611</v>
      </c>
      <c r="X105" s="54">
        <f t="shared" si="116"/>
        <v>26.85</v>
      </c>
      <c r="Y105" s="54">
        <f t="shared" si="117"/>
        <v>42.17588137444297</v>
      </c>
      <c r="Z105" s="53">
        <f t="shared" si="135"/>
        <v>750</v>
      </c>
      <c r="AA105" s="53">
        <f t="shared" si="118"/>
        <v>139</v>
      </c>
      <c r="AB105" s="54">
        <f t="shared" si="107"/>
        <v>320.6676940385484</v>
      </c>
      <c r="AC105" s="53">
        <f t="shared" si="136"/>
        <v>2787.3</v>
      </c>
      <c r="AD105" s="53">
        <f t="shared" si="137"/>
        <v>1070.4</v>
      </c>
      <c r="AE105" s="53">
        <f t="shared" si="119"/>
        <v>14.25</v>
      </c>
      <c r="AF105" s="53">
        <f t="shared" si="138"/>
        <v>1076</v>
      </c>
      <c r="AG105" s="54">
        <f t="shared" si="120"/>
        <v>22.383847656827275</v>
      </c>
      <c r="AH105" s="54">
        <f t="shared" si="121"/>
        <v>405.69116332501</v>
      </c>
      <c r="AI105" s="53">
        <f t="shared" si="122"/>
        <v>3192.9</v>
      </c>
      <c r="AJ105" s="53">
        <f t="shared" si="123"/>
        <v>1100.4</v>
      </c>
      <c r="AK105" s="54">
        <f t="shared" si="124"/>
        <v>24.35</v>
      </c>
      <c r="AL105" s="300">
        <v>189.4516</v>
      </c>
      <c r="AM105" s="53">
        <v>2</v>
      </c>
      <c r="AN105" s="53">
        <f t="shared" si="125"/>
        <v>22</v>
      </c>
      <c r="AO105" s="53">
        <f t="shared" si="139"/>
        <v>22.09</v>
      </c>
      <c r="AP105" s="55">
        <f t="shared" si="126"/>
        <v>1378.2653636997577</v>
      </c>
      <c r="AQ105" s="100">
        <v>90</v>
      </c>
      <c r="AR105" s="14">
        <f t="shared" si="108"/>
        <v>24</v>
      </c>
    </row>
    <row r="106" spans="1:44" s="14" customFormat="1" ht="12.75">
      <c r="A106" s="69"/>
      <c r="B106" s="69">
        <v>3</v>
      </c>
      <c r="C106" s="69">
        <v>2</v>
      </c>
      <c r="D106" s="70">
        <v>9</v>
      </c>
      <c r="E106" s="70">
        <v>1</v>
      </c>
      <c r="F106" s="71" t="s">
        <v>182</v>
      </c>
      <c r="G106" s="71">
        <v>1</v>
      </c>
      <c r="H106" s="72">
        <f t="shared" si="127"/>
        <v>0.35</v>
      </c>
      <c r="I106" s="72">
        <f t="shared" si="128"/>
        <v>2</v>
      </c>
      <c r="J106" s="72">
        <f t="shared" si="129"/>
        <v>0.7</v>
      </c>
      <c r="K106" s="72">
        <f t="shared" si="109"/>
        <v>2683.9757</v>
      </c>
      <c r="L106" s="72">
        <f t="shared" si="130"/>
        <v>577.25</v>
      </c>
      <c r="M106" s="72">
        <f t="shared" si="110"/>
        <v>2689.1507</v>
      </c>
      <c r="N106" s="73">
        <f t="shared" si="111"/>
        <v>577.325</v>
      </c>
      <c r="O106" s="73">
        <f t="shared" si="131"/>
        <v>5.175</v>
      </c>
      <c r="P106" s="72">
        <f t="shared" si="132"/>
        <v>18.6</v>
      </c>
      <c r="Q106" s="73">
        <f t="shared" si="112"/>
        <v>0.07500000000004547</v>
      </c>
      <c r="R106" s="72">
        <f t="shared" si="133"/>
        <v>582.5</v>
      </c>
      <c r="S106" s="73">
        <f t="shared" si="113"/>
        <v>8.12887099116359</v>
      </c>
      <c r="T106" s="73">
        <f t="shared" si="106"/>
        <v>583.55</v>
      </c>
      <c r="U106" s="73">
        <f t="shared" si="114"/>
        <v>43.95487425178213</v>
      </c>
      <c r="V106" s="72">
        <f t="shared" si="134"/>
        <v>2733.1</v>
      </c>
      <c r="W106" s="72">
        <f t="shared" si="115"/>
        <v>611</v>
      </c>
      <c r="X106" s="73">
        <f t="shared" si="116"/>
        <v>27.55</v>
      </c>
      <c r="Y106" s="73">
        <f t="shared" si="117"/>
        <v>43.2754388031994</v>
      </c>
      <c r="Z106" s="72">
        <f t="shared" si="135"/>
        <v>750</v>
      </c>
      <c r="AA106" s="72">
        <f t="shared" si="118"/>
        <v>139</v>
      </c>
      <c r="AB106" s="73">
        <f t="shared" si="107"/>
        <v>320.66769403854835</v>
      </c>
      <c r="AC106" s="72">
        <f t="shared" si="136"/>
        <v>2787.3</v>
      </c>
      <c r="AD106" s="72">
        <f t="shared" si="137"/>
        <v>1070.4</v>
      </c>
      <c r="AE106" s="72">
        <f t="shared" si="119"/>
        <v>13.55</v>
      </c>
      <c r="AF106" s="72">
        <f t="shared" si="138"/>
        <v>1076</v>
      </c>
      <c r="AG106" s="73">
        <f t="shared" si="120"/>
        <v>21.284290228070848</v>
      </c>
      <c r="AH106" s="73">
        <f t="shared" si="121"/>
        <v>405.69116332501</v>
      </c>
      <c r="AI106" s="72">
        <f t="shared" si="122"/>
        <v>3192.9</v>
      </c>
      <c r="AJ106" s="72">
        <f t="shared" si="123"/>
        <v>1100.4</v>
      </c>
      <c r="AK106" s="73">
        <f t="shared" si="124"/>
        <v>25.05</v>
      </c>
      <c r="AL106" s="299">
        <v>201.7113</v>
      </c>
      <c r="AM106" s="72">
        <v>1</v>
      </c>
      <c r="AN106" s="72">
        <f t="shared" si="125"/>
        <v>66</v>
      </c>
      <c r="AO106" s="72">
        <f t="shared" si="139"/>
        <v>22.09</v>
      </c>
      <c r="AP106" s="75">
        <f t="shared" si="126"/>
        <v>1290.4786316377742</v>
      </c>
      <c r="AQ106" s="99">
        <v>91</v>
      </c>
      <c r="AR106" s="14">
        <f t="shared" si="108"/>
        <v>8</v>
      </c>
    </row>
    <row r="107" spans="1:44" s="14" customFormat="1" ht="13.5" thickBot="1">
      <c r="A107" s="56"/>
      <c r="B107" s="56"/>
      <c r="C107" s="56">
        <v>1</v>
      </c>
      <c r="D107" s="57">
        <v>9</v>
      </c>
      <c r="E107" s="57">
        <v>2</v>
      </c>
      <c r="F107" s="58" t="s">
        <v>183</v>
      </c>
      <c r="G107" s="58">
        <v>2</v>
      </c>
      <c r="H107" s="59">
        <f t="shared" si="127"/>
        <v>0.35</v>
      </c>
      <c r="I107" s="59">
        <f t="shared" si="128"/>
        <v>2</v>
      </c>
      <c r="J107" s="59">
        <f t="shared" si="129"/>
        <v>0.7</v>
      </c>
      <c r="K107" s="59">
        <f t="shared" si="109"/>
        <v>2696.2257</v>
      </c>
      <c r="L107" s="59">
        <f t="shared" si="130"/>
        <v>577.25</v>
      </c>
      <c r="M107" s="59">
        <f t="shared" si="110"/>
        <v>2701.4007</v>
      </c>
      <c r="N107" s="60">
        <f t="shared" si="111"/>
        <v>577.325</v>
      </c>
      <c r="O107" s="60">
        <f t="shared" si="131"/>
        <v>5.175</v>
      </c>
      <c r="P107" s="59">
        <f t="shared" si="132"/>
        <v>18.6</v>
      </c>
      <c r="Q107" s="60">
        <f t="shared" si="112"/>
        <v>0.07500000000004547</v>
      </c>
      <c r="R107" s="59">
        <f t="shared" si="133"/>
        <v>582.5</v>
      </c>
      <c r="S107" s="60">
        <f t="shared" si="113"/>
        <v>8.12887099116359</v>
      </c>
      <c r="T107" s="60">
        <f t="shared" si="106"/>
        <v>582.85</v>
      </c>
      <c r="U107" s="60">
        <f t="shared" si="114"/>
        <v>31.707027935301426</v>
      </c>
      <c r="V107" s="59">
        <f t="shared" si="134"/>
        <v>2733.1</v>
      </c>
      <c r="W107" s="59">
        <f t="shared" si="115"/>
        <v>611</v>
      </c>
      <c r="X107" s="60">
        <f t="shared" si="116"/>
        <v>28.25</v>
      </c>
      <c r="Y107" s="60">
        <f t="shared" si="117"/>
        <v>44.374996231955826</v>
      </c>
      <c r="Z107" s="59">
        <f t="shared" si="135"/>
        <v>750</v>
      </c>
      <c r="AA107" s="59">
        <f t="shared" si="118"/>
        <v>139</v>
      </c>
      <c r="AB107" s="60">
        <f>SQRT((POWER((AD107-Z107),2))+(POWER(((AC107-AE107)-(V107+X107)),2)))</f>
        <v>320.6676940385484</v>
      </c>
      <c r="AC107" s="59">
        <f t="shared" si="136"/>
        <v>2787.3</v>
      </c>
      <c r="AD107" s="59">
        <f t="shared" si="137"/>
        <v>1070.4</v>
      </c>
      <c r="AE107" s="59">
        <f t="shared" si="119"/>
        <v>12.85</v>
      </c>
      <c r="AF107" s="59">
        <f t="shared" si="138"/>
        <v>1076</v>
      </c>
      <c r="AG107" s="60">
        <f t="shared" si="120"/>
        <v>20.18473279931442</v>
      </c>
      <c r="AH107" s="60">
        <f t="shared" si="121"/>
        <v>405.69116332501</v>
      </c>
      <c r="AI107" s="59">
        <f t="shared" si="122"/>
        <v>3192.9</v>
      </c>
      <c r="AJ107" s="59">
        <f t="shared" si="123"/>
        <v>1100.4</v>
      </c>
      <c r="AK107" s="60">
        <f t="shared" si="124"/>
        <v>25.75</v>
      </c>
      <c r="AL107" s="301">
        <v>201.9316</v>
      </c>
      <c r="AM107" s="59">
        <v>2</v>
      </c>
      <c r="AN107" s="59">
        <f t="shared" si="125"/>
        <v>22</v>
      </c>
      <c r="AO107" s="59">
        <f t="shared" si="139"/>
        <v>22.09</v>
      </c>
      <c r="AP107" s="61">
        <f t="shared" si="126"/>
        <v>1234.4510853212935</v>
      </c>
      <c r="AQ107" s="101">
        <v>92</v>
      </c>
      <c r="AR107" s="14">
        <f t="shared" si="108"/>
        <v>16</v>
      </c>
    </row>
    <row r="108" spans="6:44" ht="12.75">
      <c r="F108" s="83" t="s">
        <v>147</v>
      </c>
      <c r="AR108" s="84">
        <f>SUM(AR85:AR107)</f>
        <v>528</v>
      </c>
    </row>
    <row r="109" spans="1:3" ht="12.75">
      <c r="A109" s="115"/>
      <c r="B109" s="115">
        <f>SUM(B3:B107)*4</f>
        <v>252</v>
      </c>
      <c r="C109" s="115" t="s">
        <v>138</v>
      </c>
    </row>
    <row r="110" spans="1:45" ht="12.75">
      <c r="A110" s="115">
        <f>SUM(A3:A107)*4</f>
        <v>180</v>
      </c>
      <c r="B110" s="115"/>
      <c r="C110" s="115" t="s">
        <v>139</v>
      </c>
      <c r="AR110" t="s">
        <v>95</v>
      </c>
      <c r="AS110">
        <f>AR108+AR80+AR54+AR26</f>
        <v>1976</v>
      </c>
    </row>
    <row r="111" spans="1:3" ht="12.75">
      <c r="A111" s="115"/>
      <c r="B111" s="115">
        <f>B109*2</f>
        <v>504</v>
      </c>
      <c r="C111" s="115" t="s">
        <v>137</v>
      </c>
    </row>
    <row r="112" spans="1:3" ht="12.75">
      <c r="A112" s="115">
        <f>A110*2</f>
        <v>360</v>
      </c>
      <c r="B112" s="115"/>
      <c r="C112" s="115" t="s">
        <v>139</v>
      </c>
    </row>
    <row r="113" spans="1:3" ht="12.75">
      <c r="A113" s="115"/>
      <c r="B113" s="115">
        <f>A112+B111</f>
        <v>864</v>
      </c>
      <c r="C113" s="115" t="s">
        <v>140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39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J9" sqref="J9"/>
    </sheetView>
  </sheetViews>
  <sheetFormatPr defaultColWidth="9.140625" defaultRowHeight="12.75"/>
  <cols>
    <col min="1" max="1" width="15.28125" style="0" customWidth="1"/>
    <col min="11" max="11" width="26.57421875" style="0" customWidth="1"/>
  </cols>
  <sheetData>
    <row r="1" spans="1:11" s="1" customFormat="1" ht="13.5" thickBot="1">
      <c r="A1"/>
      <c r="B1"/>
      <c r="C1"/>
      <c r="D1"/>
      <c r="E1"/>
      <c r="F1"/>
      <c r="G1"/>
      <c r="H1"/>
      <c r="I1"/>
      <c r="J1"/>
      <c r="K1"/>
    </row>
    <row r="2" spans="2:11" ht="13.5" thickBot="1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4" t="s">
        <v>13</v>
      </c>
    </row>
    <row r="3" spans="1:11" ht="12.75">
      <c r="A3" s="2" t="s">
        <v>9</v>
      </c>
      <c r="B3" s="6">
        <v>853.8</v>
      </c>
      <c r="C3" s="6">
        <v>934</v>
      </c>
      <c r="D3" s="6">
        <v>1091.5</v>
      </c>
      <c r="E3" s="6">
        <v>1299.9</v>
      </c>
      <c r="F3" s="6">
        <v>1399.7</v>
      </c>
      <c r="G3" s="6">
        <v>1771.4</v>
      </c>
      <c r="H3" s="6">
        <v>2115.2</v>
      </c>
      <c r="I3" s="6">
        <v>2505</v>
      </c>
      <c r="J3" s="6">
        <v>2720.2</v>
      </c>
      <c r="K3" s="7"/>
    </row>
    <row r="4" spans="1:11" ht="12.75">
      <c r="A4" s="5" t="s">
        <v>15</v>
      </c>
      <c r="B4" s="12">
        <f aca="true" t="shared" si="0" ref="B4:I4">B3+B7</f>
        <v>876.925</v>
      </c>
      <c r="C4" s="12">
        <f t="shared" si="0"/>
        <v>957.125</v>
      </c>
      <c r="D4" s="12">
        <f t="shared" si="0"/>
        <v>1114.625</v>
      </c>
      <c r="E4" s="12">
        <f t="shared" si="0"/>
        <v>1323.025</v>
      </c>
      <c r="F4" s="12">
        <f t="shared" si="0"/>
        <v>1422.825</v>
      </c>
      <c r="G4" s="12">
        <f t="shared" si="0"/>
        <v>1794.525</v>
      </c>
      <c r="H4" s="12">
        <f t="shared" si="0"/>
        <v>2138.325</v>
      </c>
      <c r="I4" s="12">
        <f t="shared" si="0"/>
        <v>2528.125</v>
      </c>
      <c r="J4" s="12">
        <f>J3-J9</f>
        <v>2672.225</v>
      </c>
      <c r="K4" s="7"/>
    </row>
    <row r="5" spans="1:11" ht="12.75">
      <c r="A5" s="5" t="s">
        <v>16</v>
      </c>
      <c r="B5" s="12">
        <f aca="true" t="shared" si="1" ref="B5:I5">B3+B8</f>
        <v>889.175</v>
      </c>
      <c r="C5" s="12">
        <f t="shared" si="1"/>
        <v>969.375</v>
      </c>
      <c r="D5" s="12">
        <f t="shared" si="1"/>
        <v>1126.875</v>
      </c>
      <c r="E5" s="12">
        <f t="shared" si="1"/>
        <v>1335.275</v>
      </c>
      <c r="F5" s="12">
        <f t="shared" si="1"/>
        <v>1435.075</v>
      </c>
      <c r="G5" s="12">
        <f t="shared" si="1"/>
        <v>1806.775</v>
      </c>
      <c r="H5" s="12">
        <f t="shared" si="1"/>
        <v>2150.575</v>
      </c>
      <c r="I5" s="12">
        <f t="shared" si="1"/>
        <v>2540.375</v>
      </c>
      <c r="J5" s="12">
        <f>J3-J8</f>
        <v>2683.9757</v>
      </c>
      <c r="K5" s="7"/>
    </row>
    <row r="6" spans="1:11" s="1" customFormat="1" ht="12.75">
      <c r="A6" s="5" t="s">
        <v>17</v>
      </c>
      <c r="B6" s="12">
        <f aca="true" t="shared" si="2" ref="B6:I6">B3+B9</f>
        <v>901.425</v>
      </c>
      <c r="C6" s="12">
        <f t="shared" si="2"/>
        <v>981.625</v>
      </c>
      <c r="D6" s="12">
        <f t="shared" si="2"/>
        <v>1139.125</v>
      </c>
      <c r="E6" s="12">
        <f t="shared" si="2"/>
        <v>1347.525</v>
      </c>
      <c r="F6" s="12">
        <f t="shared" si="2"/>
        <v>1447.325</v>
      </c>
      <c r="G6" s="12">
        <f t="shared" si="2"/>
        <v>1819.025</v>
      </c>
      <c r="H6" s="12">
        <f t="shared" si="2"/>
        <v>2162.825</v>
      </c>
      <c r="I6" s="12">
        <f t="shared" si="2"/>
        <v>2552.625</v>
      </c>
      <c r="J6" s="12">
        <f>J3-J7</f>
        <v>2696.2257</v>
      </c>
      <c r="K6" s="7"/>
    </row>
    <row r="7" spans="1:11" ht="12.75">
      <c r="A7" s="5" t="s">
        <v>10</v>
      </c>
      <c r="B7" s="6">
        <f>23.3-('Tape lengths'!H3/2)</f>
        <v>23.125</v>
      </c>
      <c r="C7" s="6">
        <f aca="true" t="shared" si="3" ref="C7:I9">B7</f>
        <v>23.125</v>
      </c>
      <c r="D7" s="6">
        <f t="shared" si="3"/>
        <v>23.125</v>
      </c>
      <c r="E7" s="6">
        <f t="shared" si="3"/>
        <v>23.125</v>
      </c>
      <c r="F7" s="6">
        <f t="shared" si="3"/>
        <v>23.125</v>
      </c>
      <c r="G7" s="6">
        <f t="shared" si="3"/>
        <v>23.125</v>
      </c>
      <c r="H7" s="6">
        <f t="shared" si="3"/>
        <v>23.125</v>
      </c>
      <c r="I7" s="6">
        <f t="shared" si="3"/>
        <v>23.125</v>
      </c>
      <c r="J7" s="6">
        <f>23.7993+('Tape lengths'!H3/2)</f>
        <v>23.9743</v>
      </c>
      <c r="K7" s="8" t="s">
        <v>80</v>
      </c>
    </row>
    <row r="8" spans="1:11" ht="12.75">
      <c r="A8" s="5" t="s">
        <v>11</v>
      </c>
      <c r="B8" s="6">
        <f>35.55-('Tape lengths'!H3/2)</f>
        <v>35.375</v>
      </c>
      <c r="C8" s="6">
        <f t="shared" si="3"/>
        <v>35.375</v>
      </c>
      <c r="D8" s="6">
        <f t="shared" si="3"/>
        <v>35.375</v>
      </c>
      <c r="E8" s="6">
        <f t="shared" si="3"/>
        <v>35.375</v>
      </c>
      <c r="F8" s="6">
        <f t="shared" si="3"/>
        <v>35.375</v>
      </c>
      <c r="G8" s="6">
        <f t="shared" si="3"/>
        <v>35.375</v>
      </c>
      <c r="H8" s="6">
        <f t="shared" si="3"/>
        <v>35.375</v>
      </c>
      <c r="I8" s="6">
        <f t="shared" si="3"/>
        <v>35.375</v>
      </c>
      <c r="J8" s="6">
        <f>36.0493+('Tape lengths'!H3/2)</f>
        <v>36.2243</v>
      </c>
      <c r="K8" s="7" t="s">
        <v>14</v>
      </c>
    </row>
    <row r="9" spans="1:11" ht="12.75">
      <c r="A9" s="5" t="s">
        <v>12</v>
      </c>
      <c r="B9" s="6">
        <f>47.8-('Tape lengths'!H3/2)</f>
        <v>47.625</v>
      </c>
      <c r="C9" s="6">
        <f t="shared" si="3"/>
        <v>47.625</v>
      </c>
      <c r="D9" s="6">
        <f t="shared" si="3"/>
        <v>47.625</v>
      </c>
      <c r="E9" s="6">
        <f t="shared" si="3"/>
        <v>47.625</v>
      </c>
      <c r="F9" s="6">
        <f t="shared" si="3"/>
        <v>47.625</v>
      </c>
      <c r="G9" s="6">
        <f t="shared" si="3"/>
        <v>47.625</v>
      </c>
      <c r="H9" s="6">
        <f t="shared" si="3"/>
        <v>47.625</v>
      </c>
      <c r="I9" s="6">
        <f t="shared" si="3"/>
        <v>47.625</v>
      </c>
      <c r="J9" s="6">
        <f>47.8+('Tape lengths'!H3/2)</f>
        <v>47.974999999999994</v>
      </c>
      <c r="K9" s="7" t="s">
        <v>14</v>
      </c>
    </row>
    <row r="10" spans="1:11" ht="26.25" thickBot="1">
      <c r="A10" s="9"/>
      <c r="B10" s="10"/>
      <c r="C10" s="10"/>
      <c r="D10" s="10"/>
      <c r="E10" s="10"/>
      <c r="F10" s="10"/>
      <c r="G10" s="10"/>
      <c r="H10" s="10"/>
      <c r="I10" s="10"/>
      <c r="J10" s="13" t="s">
        <v>18</v>
      </c>
      <c r="K10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65"/>
  <sheetViews>
    <sheetView workbookViewId="0" topLeftCell="A52">
      <selection activeCell="F8" sqref="F8"/>
    </sheetView>
  </sheetViews>
  <sheetFormatPr defaultColWidth="9.140625" defaultRowHeight="12.75"/>
  <sheetData>
    <row r="1" ht="12.75">
      <c r="A1" t="s">
        <v>88</v>
      </c>
    </row>
    <row r="2" ht="12.75">
      <c r="A2" t="s">
        <v>91</v>
      </c>
    </row>
    <row r="3" ht="12.75">
      <c r="A3" t="s">
        <v>75</v>
      </c>
    </row>
    <row r="4" spans="1:3" ht="12.75">
      <c r="A4">
        <f>'Tape lengths'!K25</f>
        <v>2696.2257</v>
      </c>
      <c r="B4" t="s">
        <v>76</v>
      </c>
      <c r="C4">
        <f>'Tape lengths'!L22-'Tape lengths'!P22</f>
        <v>558.65</v>
      </c>
    </row>
    <row r="5" ht="12.75">
      <c r="A5" t="s">
        <v>87</v>
      </c>
    </row>
    <row r="6" ht="12.75">
      <c r="A6">
        <f>'Tape lengths'!H3</f>
        <v>0.35</v>
      </c>
    </row>
    <row r="7" ht="12.75">
      <c r="A7">
        <f>'Tape lengths'!H3</f>
        <v>0.35</v>
      </c>
    </row>
    <row r="8" spans="1:3" ht="12.75">
      <c r="A8">
        <f>'Tape lengths'!K25</f>
        <v>2696.2257</v>
      </c>
      <c r="B8" t="s">
        <v>76</v>
      </c>
      <c r="C8">
        <f>'Tape lengths'!N25</f>
        <v>577.325</v>
      </c>
    </row>
    <row r="9" ht="12.75">
      <c r="A9" t="s">
        <v>77</v>
      </c>
    </row>
    <row r="10" spans="1:4" ht="12.75">
      <c r="A10" t="s">
        <v>74</v>
      </c>
      <c r="B10">
        <f>'Tape lengths'!O25</f>
        <v>5.175</v>
      </c>
      <c r="C10" t="s">
        <v>76</v>
      </c>
      <c r="D10">
        <f>'Tape lengths'!O25</f>
        <v>5.175</v>
      </c>
    </row>
    <row r="11" ht="12.75">
      <c r="A11" t="s">
        <v>78</v>
      </c>
    </row>
    <row r="12" spans="1:3" ht="12.75">
      <c r="A12">
        <f>'Tape lengths'!V25</f>
        <v>2733.1</v>
      </c>
      <c r="B12" t="s">
        <v>76</v>
      </c>
      <c r="C12">
        <f>'Tape lengths'!W25-'Tape lengths'!X25</f>
        <v>582.75</v>
      </c>
    </row>
    <row r="13" ht="12.75">
      <c r="A13" t="s">
        <v>77</v>
      </c>
    </row>
    <row r="14" spans="1:4" ht="12.75">
      <c r="A14" t="s">
        <v>74</v>
      </c>
      <c r="B14">
        <f>'Tape lengths'!X25</f>
        <v>28.25</v>
      </c>
      <c r="C14" t="s">
        <v>76</v>
      </c>
      <c r="D14">
        <f>'Tape lengths'!X25</f>
        <v>28.25</v>
      </c>
    </row>
    <row r="15" ht="12.75">
      <c r="A15" t="s">
        <v>78</v>
      </c>
    </row>
    <row r="16" spans="1:3" ht="12.75">
      <c r="A16">
        <f>'Tape lengths'!V25+'Tape lengths'!X25</f>
        <v>2761.35</v>
      </c>
      <c r="B16" t="s">
        <v>76</v>
      </c>
      <c r="C16">
        <f>'Tape lengths'!W25</f>
        <v>611</v>
      </c>
    </row>
    <row r="17" spans="1:3" ht="12.75">
      <c r="A17">
        <f>A16</f>
        <v>2761.35</v>
      </c>
      <c r="B17" t="s">
        <v>76</v>
      </c>
      <c r="C17">
        <f>'Tape lengths'!Z25</f>
        <v>750</v>
      </c>
    </row>
    <row r="18" spans="1:3" ht="12.75">
      <c r="A18">
        <f>'Tape lengths'!AC25-'Tape lengths'!AE25</f>
        <v>2774.4500000000003</v>
      </c>
      <c r="B18" t="s">
        <v>76</v>
      </c>
      <c r="C18">
        <f>'Tape lengths'!AD25</f>
        <v>1070.4</v>
      </c>
    </row>
    <row r="19" ht="12.75">
      <c r="A19" t="s">
        <v>77</v>
      </c>
    </row>
    <row r="20" spans="1:4" ht="12.75">
      <c r="A20" t="s">
        <v>74</v>
      </c>
      <c r="B20">
        <f>'Tape lengths'!AE25</f>
        <v>12.85</v>
      </c>
      <c r="C20" t="s">
        <v>76</v>
      </c>
      <c r="D20">
        <f>'Tape lengths'!AE25</f>
        <v>12.85</v>
      </c>
    </row>
    <row r="21" ht="12.75">
      <c r="A21" t="s">
        <v>78</v>
      </c>
    </row>
    <row r="22" spans="1:3" ht="12.75">
      <c r="A22">
        <f>'Tape lengths'!AI25</f>
        <v>3192.9</v>
      </c>
      <c r="B22" t="s">
        <v>76</v>
      </c>
      <c r="C22">
        <f>'Tape lengths'!AJ25-'Tape lengths'!AK25</f>
        <v>1074.65</v>
      </c>
    </row>
    <row r="23" spans="1:4" ht="12.75">
      <c r="A23" s="89"/>
      <c r="B23" s="89"/>
      <c r="C23" s="89"/>
      <c r="D23" s="89"/>
    </row>
    <row r="24" ht="12.75">
      <c r="A24" t="s">
        <v>88</v>
      </c>
    </row>
    <row r="25" ht="12.75">
      <c r="A25" t="s">
        <v>92</v>
      </c>
    </row>
    <row r="26" ht="12.75">
      <c r="A26" t="s">
        <v>75</v>
      </c>
    </row>
    <row r="27" spans="1:3" ht="13.5" customHeight="1">
      <c r="A27">
        <f>'Tape lengths'!K24</f>
        <v>2683.9757</v>
      </c>
      <c r="B27" t="s">
        <v>76</v>
      </c>
      <c r="C27">
        <f>'Tape lengths'!L24-'Tape lengths'!P24</f>
        <v>558.65</v>
      </c>
    </row>
    <row r="28" spans="1:3" ht="12.75">
      <c r="A28">
        <f>'Tape lengths'!K24</f>
        <v>2683.9757</v>
      </c>
      <c r="B28" t="s">
        <v>76</v>
      </c>
      <c r="C28">
        <f>'Tape lengths'!N24</f>
        <v>577.325</v>
      </c>
    </row>
    <row r="29" ht="12.75">
      <c r="A29" t="s">
        <v>77</v>
      </c>
    </row>
    <row r="30" spans="1:4" ht="12.75">
      <c r="A30" t="s">
        <v>74</v>
      </c>
      <c r="B30">
        <f>'Tape lengths'!O24</f>
        <v>5.175</v>
      </c>
      <c r="C30" t="s">
        <v>76</v>
      </c>
      <c r="D30">
        <f>'Tape lengths'!O24</f>
        <v>5.175</v>
      </c>
    </row>
    <row r="31" ht="12.75">
      <c r="A31" t="s">
        <v>78</v>
      </c>
    </row>
    <row r="32" spans="1:3" ht="12.75">
      <c r="A32">
        <f>'Tape lengths'!V24</f>
        <v>2733.1</v>
      </c>
      <c r="B32" t="s">
        <v>76</v>
      </c>
      <c r="C32">
        <f>'Tape lengths'!W24-'Tape lengths'!X24</f>
        <v>583.45</v>
      </c>
    </row>
    <row r="33" ht="12.75">
      <c r="A33" t="s">
        <v>77</v>
      </c>
    </row>
    <row r="34" spans="1:4" ht="12.75">
      <c r="A34" t="s">
        <v>74</v>
      </c>
      <c r="B34">
        <f>'Tape lengths'!X24</f>
        <v>27.55</v>
      </c>
      <c r="C34" t="s">
        <v>76</v>
      </c>
      <c r="D34">
        <f>'Tape lengths'!X24</f>
        <v>27.55</v>
      </c>
    </row>
    <row r="35" ht="12.75">
      <c r="A35" t="s">
        <v>78</v>
      </c>
    </row>
    <row r="36" spans="1:3" ht="12.75">
      <c r="A36">
        <f>'Tape lengths'!V24+'Tape lengths'!X24</f>
        <v>2760.65</v>
      </c>
      <c r="B36" t="s">
        <v>76</v>
      </c>
      <c r="C36">
        <f>'Tape lengths'!W24</f>
        <v>611</v>
      </c>
    </row>
    <row r="37" spans="1:3" ht="12.75">
      <c r="A37">
        <f>A36</f>
        <v>2760.65</v>
      </c>
      <c r="B37" t="s">
        <v>76</v>
      </c>
      <c r="C37">
        <f>'Tape lengths'!Z24</f>
        <v>750</v>
      </c>
    </row>
    <row r="38" spans="1:3" ht="12.75">
      <c r="A38">
        <f>'Tape lengths'!AC24-'Tape lengths'!AE24</f>
        <v>2773.75</v>
      </c>
      <c r="B38" t="s">
        <v>76</v>
      </c>
      <c r="C38">
        <f>'Tape lengths'!AD24</f>
        <v>1070.4</v>
      </c>
    </row>
    <row r="39" ht="12.75">
      <c r="A39" t="s">
        <v>77</v>
      </c>
    </row>
    <row r="40" spans="1:4" ht="12.75">
      <c r="A40" t="s">
        <v>74</v>
      </c>
      <c r="B40">
        <f>'Tape lengths'!AE24</f>
        <v>13.55</v>
      </c>
      <c r="C40" t="s">
        <v>76</v>
      </c>
      <c r="D40">
        <f>'Tape lengths'!AE24</f>
        <v>13.55</v>
      </c>
    </row>
    <row r="41" ht="12.75">
      <c r="A41" t="s">
        <v>78</v>
      </c>
    </row>
    <row r="42" spans="1:3" ht="12.75">
      <c r="A42">
        <f>'Tape lengths'!AI24</f>
        <v>3192.9</v>
      </c>
      <c r="B42" t="s">
        <v>76</v>
      </c>
      <c r="C42">
        <f>'Tape lengths'!AJ24-'Tape lengths'!AK24</f>
        <v>1075.3500000000001</v>
      </c>
    </row>
    <row r="43" spans="1:4" ht="12.75">
      <c r="A43" s="89"/>
      <c r="B43" s="89"/>
      <c r="C43" s="89"/>
      <c r="D43" s="89"/>
    </row>
    <row r="44" ht="12.75">
      <c r="A44" t="s">
        <v>88</v>
      </c>
    </row>
    <row r="45" ht="12.75">
      <c r="A45" t="s">
        <v>91</v>
      </c>
    </row>
    <row r="46" ht="12.75">
      <c r="A46" t="s">
        <v>75</v>
      </c>
    </row>
    <row r="47" spans="1:3" ht="12.75">
      <c r="A47">
        <f>'Tape lengths'!K23</f>
        <v>2540.375</v>
      </c>
      <c r="B47" t="s">
        <v>76</v>
      </c>
      <c r="C47">
        <f>'Tape lengths'!L23-'Tape lengths'!P23</f>
        <v>558.65</v>
      </c>
    </row>
    <row r="48" spans="1:3" ht="12.75">
      <c r="A48">
        <f>'Tape lengths'!K23</f>
        <v>2540.375</v>
      </c>
      <c r="B48" t="s">
        <v>76</v>
      </c>
      <c r="C48">
        <f>'Tape lengths'!N23</f>
        <v>577.325</v>
      </c>
    </row>
    <row r="49" ht="12.75">
      <c r="A49" t="s">
        <v>77</v>
      </c>
    </row>
    <row r="50" spans="1:4" ht="12.75">
      <c r="A50" t="s">
        <v>74</v>
      </c>
      <c r="B50">
        <f>'Tape lengths'!O23</f>
        <v>5.175</v>
      </c>
      <c r="C50" t="s">
        <v>76</v>
      </c>
      <c r="D50">
        <f>'Tape lengths'!O23</f>
        <v>5.175</v>
      </c>
    </row>
    <row r="51" ht="12.75">
      <c r="A51" t="s">
        <v>78</v>
      </c>
    </row>
    <row r="52" spans="1:3" ht="12.75">
      <c r="A52">
        <f>'Tape lengths'!V23</f>
        <v>2733.1</v>
      </c>
      <c r="B52" t="s">
        <v>76</v>
      </c>
      <c r="C52">
        <f>'Tape lengths'!W23-'Tape lengths'!X23</f>
        <v>584.15</v>
      </c>
    </row>
    <row r="53" ht="12.75">
      <c r="A53" t="s">
        <v>77</v>
      </c>
    </row>
    <row r="54" spans="1:4" ht="12.75">
      <c r="A54" t="s">
        <v>74</v>
      </c>
      <c r="B54">
        <f>'Tape lengths'!X23</f>
        <v>26.85</v>
      </c>
      <c r="C54" t="s">
        <v>76</v>
      </c>
      <c r="D54">
        <f>'Tape lengths'!X23</f>
        <v>26.85</v>
      </c>
    </row>
    <row r="55" ht="12.75">
      <c r="A55" t="s">
        <v>78</v>
      </c>
    </row>
    <row r="56" spans="1:3" ht="12.75">
      <c r="A56">
        <f>'Tape lengths'!V23+'Tape lengths'!X23</f>
        <v>2759.95</v>
      </c>
      <c r="B56" t="s">
        <v>76</v>
      </c>
      <c r="C56">
        <f>'Tape lengths'!W23</f>
        <v>611</v>
      </c>
    </row>
    <row r="57" spans="1:3" ht="12.75">
      <c r="A57">
        <f>A56</f>
        <v>2759.95</v>
      </c>
      <c r="B57" t="s">
        <v>76</v>
      </c>
      <c r="C57">
        <f>'Tape lengths'!Z23</f>
        <v>750</v>
      </c>
    </row>
    <row r="58" spans="1:3" ht="12.75">
      <c r="A58">
        <f>'Tape lengths'!AC23-'Tape lengths'!AE23</f>
        <v>2773.05</v>
      </c>
      <c r="B58" t="s">
        <v>76</v>
      </c>
      <c r="C58">
        <f>'Tape lengths'!AD23</f>
        <v>1070.4</v>
      </c>
    </row>
    <row r="59" ht="12.75">
      <c r="A59" t="s">
        <v>77</v>
      </c>
    </row>
    <row r="60" spans="1:4" ht="12.75">
      <c r="A60" t="s">
        <v>74</v>
      </c>
      <c r="B60">
        <f>'Tape lengths'!AE23</f>
        <v>14.25</v>
      </c>
      <c r="C60" t="s">
        <v>76</v>
      </c>
      <c r="D60">
        <f>'Tape lengths'!AE23</f>
        <v>14.25</v>
      </c>
    </row>
    <row r="61" ht="12.75">
      <c r="A61" t="s">
        <v>78</v>
      </c>
    </row>
    <row r="62" spans="1:3" ht="12.75">
      <c r="A62">
        <f>'Tape lengths'!AI23</f>
        <v>3192.9</v>
      </c>
      <c r="B62" t="s">
        <v>76</v>
      </c>
      <c r="C62">
        <f>'Tape lengths'!AJ23-'Tape lengths'!AK23</f>
        <v>1076.0500000000002</v>
      </c>
    </row>
    <row r="63" spans="1:4" ht="12.75">
      <c r="A63" s="89"/>
      <c r="B63" s="89"/>
      <c r="C63" s="89"/>
      <c r="D63" s="89"/>
    </row>
    <row r="64" ht="12.75">
      <c r="A64" t="s">
        <v>88</v>
      </c>
    </row>
    <row r="65" ht="12.75">
      <c r="A65" t="s">
        <v>92</v>
      </c>
    </row>
    <row r="66" ht="12.75">
      <c r="A66" t="s">
        <v>75</v>
      </c>
    </row>
    <row r="67" spans="1:3" ht="12.75">
      <c r="A67">
        <f>'Tape lengths'!K22</f>
        <v>2528.125</v>
      </c>
      <c r="B67" t="s">
        <v>76</v>
      </c>
      <c r="C67">
        <f>'Tape lengths'!L22-'Tape lengths'!P22</f>
        <v>558.65</v>
      </c>
    </row>
    <row r="68" spans="1:3" ht="12.75">
      <c r="A68">
        <f>'Tape lengths'!K22</f>
        <v>2528.125</v>
      </c>
      <c r="B68" t="s">
        <v>76</v>
      </c>
      <c r="C68">
        <f>'Tape lengths'!N22</f>
        <v>577.325</v>
      </c>
    </row>
    <row r="69" ht="12.75">
      <c r="A69" t="s">
        <v>77</v>
      </c>
    </row>
    <row r="70" spans="1:4" ht="12.75">
      <c r="A70" t="s">
        <v>74</v>
      </c>
      <c r="B70">
        <f>'Tape lengths'!O22</f>
        <v>5.175</v>
      </c>
      <c r="C70" t="s">
        <v>76</v>
      </c>
      <c r="D70">
        <f>'Tape lengths'!O22</f>
        <v>5.175</v>
      </c>
    </row>
    <row r="71" ht="12.75">
      <c r="A71" t="s">
        <v>78</v>
      </c>
    </row>
    <row r="72" spans="1:3" ht="12.75">
      <c r="A72">
        <f>'Tape lengths'!V22</f>
        <v>2733.1</v>
      </c>
      <c r="B72" t="s">
        <v>76</v>
      </c>
      <c r="C72">
        <f>'Tape lengths'!W22-'Tape lengths'!X22</f>
        <v>584.85</v>
      </c>
    </row>
    <row r="73" ht="12.75">
      <c r="A73" t="s">
        <v>77</v>
      </c>
    </row>
    <row r="74" spans="1:4" ht="12.75">
      <c r="A74" t="s">
        <v>74</v>
      </c>
      <c r="B74">
        <f>'Tape lengths'!X22</f>
        <v>26.15</v>
      </c>
      <c r="C74" t="s">
        <v>76</v>
      </c>
      <c r="D74">
        <f>'Tape lengths'!X22</f>
        <v>26.15</v>
      </c>
    </row>
    <row r="75" ht="12.75">
      <c r="A75" t="s">
        <v>78</v>
      </c>
    </row>
    <row r="76" spans="1:3" ht="12.75">
      <c r="A76">
        <f>'Tape lengths'!V22+'Tape lengths'!X22</f>
        <v>2759.25</v>
      </c>
      <c r="B76" t="s">
        <v>76</v>
      </c>
      <c r="C76">
        <f>'Tape lengths'!W22</f>
        <v>611</v>
      </c>
    </row>
    <row r="77" spans="1:3" ht="12.75">
      <c r="A77">
        <f>A76</f>
        <v>2759.25</v>
      </c>
      <c r="B77" t="s">
        <v>76</v>
      </c>
      <c r="C77">
        <f>'Tape lengths'!Z22</f>
        <v>750</v>
      </c>
    </row>
    <row r="78" spans="1:3" ht="12.75">
      <c r="A78">
        <f>'Tape lengths'!AC22-'Tape lengths'!AE22</f>
        <v>2772.3500000000004</v>
      </c>
      <c r="B78" t="s">
        <v>76</v>
      </c>
      <c r="C78">
        <f>'Tape lengths'!AD22</f>
        <v>1070.4</v>
      </c>
    </row>
    <row r="79" ht="12.75">
      <c r="A79" t="s">
        <v>77</v>
      </c>
    </row>
    <row r="80" spans="1:4" ht="12.75">
      <c r="A80" t="s">
        <v>74</v>
      </c>
      <c r="B80">
        <f>'Tape lengths'!AE22</f>
        <v>14.950000000000001</v>
      </c>
      <c r="C80" t="s">
        <v>76</v>
      </c>
      <c r="D80">
        <f>'Tape lengths'!AE22</f>
        <v>14.950000000000001</v>
      </c>
    </row>
    <row r="81" ht="12.75">
      <c r="A81" t="s">
        <v>78</v>
      </c>
    </row>
    <row r="82" spans="1:3" ht="12.75">
      <c r="A82">
        <f>'Tape lengths'!AI22</f>
        <v>3192.9</v>
      </c>
      <c r="B82" t="s">
        <v>76</v>
      </c>
      <c r="C82">
        <f>'Tape lengths'!AJ22-'Tape lengths'!AK22</f>
        <v>1076.75</v>
      </c>
    </row>
    <row r="83" spans="1:4" ht="12.75">
      <c r="A83" s="89"/>
      <c r="B83" s="89"/>
      <c r="C83" s="89"/>
      <c r="D83" s="89"/>
    </row>
    <row r="84" ht="12.75">
      <c r="A84" t="s">
        <v>88</v>
      </c>
    </row>
    <row r="85" ht="12.75">
      <c r="A85" t="s">
        <v>91</v>
      </c>
    </row>
    <row r="86" ht="12.75">
      <c r="A86" t="s">
        <v>75</v>
      </c>
    </row>
    <row r="87" spans="1:3" ht="12.75">
      <c r="A87">
        <f>'Tape lengths'!K21</f>
        <v>2150.575</v>
      </c>
      <c r="B87" t="s">
        <v>76</v>
      </c>
      <c r="C87">
        <f>'Tape lengths'!L21-'Tape lengths'!P21</f>
        <v>558.65</v>
      </c>
    </row>
    <row r="88" spans="1:3" ht="12.75">
      <c r="A88">
        <f>'Tape lengths'!K21</f>
        <v>2150.575</v>
      </c>
      <c r="B88" t="s">
        <v>76</v>
      </c>
      <c r="C88">
        <f>'Tape lengths'!N21</f>
        <v>577.325</v>
      </c>
    </row>
    <row r="89" ht="12.75">
      <c r="A89" t="s">
        <v>77</v>
      </c>
    </row>
    <row r="90" spans="1:4" ht="12.75">
      <c r="A90" t="s">
        <v>74</v>
      </c>
      <c r="B90">
        <f>'Tape lengths'!O21</f>
        <v>5.175</v>
      </c>
      <c r="C90" t="s">
        <v>76</v>
      </c>
      <c r="D90">
        <f>'Tape lengths'!O21</f>
        <v>5.175</v>
      </c>
    </row>
    <row r="91" ht="12.75">
      <c r="A91" t="s">
        <v>78</v>
      </c>
    </row>
    <row r="92" spans="1:3" ht="12.75">
      <c r="A92">
        <f>'Tape lengths'!V21</f>
        <v>2733.1</v>
      </c>
      <c r="B92" t="s">
        <v>76</v>
      </c>
      <c r="C92">
        <f>'Tape lengths'!W21-'Tape lengths'!X21</f>
        <v>585.55</v>
      </c>
    </row>
    <row r="93" ht="12.75">
      <c r="A93" t="s">
        <v>77</v>
      </c>
    </row>
    <row r="94" spans="1:4" ht="12.75">
      <c r="A94" t="s">
        <v>74</v>
      </c>
      <c r="B94">
        <f>'Tape lengths'!X21</f>
        <v>25.450000000000003</v>
      </c>
      <c r="C94" t="s">
        <v>76</v>
      </c>
      <c r="D94">
        <f>'Tape lengths'!X21</f>
        <v>25.450000000000003</v>
      </c>
    </row>
    <row r="95" ht="12.75">
      <c r="A95" t="s">
        <v>78</v>
      </c>
    </row>
    <row r="96" spans="1:3" ht="12.75">
      <c r="A96">
        <f>'Tape lengths'!V21+'Tape lengths'!X21</f>
        <v>2758.5499999999997</v>
      </c>
      <c r="B96" t="s">
        <v>76</v>
      </c>
      <c r="C96">
        <f>'Tape lengths'!W21</f>
        <v>611</v>
      </c>
    </row>
    <row r="97" spans="1:3" ht="12.75">
      <c r="A97">
        <f>A96</f>
        <v>2758.5499999999997</v>
      </c>
      <c r="B97" t="s">
        <v>76</v>
      </c>
      <c r="C97">
        <f>'Tape lengths'!Z21</f>
        <v>750</v>
      </c>
    </row>
    <row r="98" spans="1:3" ht="12.75">
      <c r="A98">
        <f>'Tape lengths'!AC21-'Tape lengths'!AE21</f>
        <v>2771.65</v>
      </c>
      <c r="B98" t="s">
        <v>76</v>
      </c>
      <c r="C98">
        <f>'Tape lengths'!AD21</f>
        <v>1070.4</v>
      </c>
    </row>
    <row r="99" ht="12.75">
      <c r="A99" t="s">
        <v>77</v>
      </c>
    </row>
    <row r="100" spans="1:4" ht="12.75">
      <c r="A100" t="s">
        <v>74</v>
      </c>
      <c r="B100">
        <f>'Tape lengths'!AE21</f>
        <v>15.65</v>
      </c>
      <c r="C100" t="s">
        <v>76</v>
      </c>
      <c r="D100">
        <f>'Tape lengths'!AE21</f>
        <v>15.65</v>
      </c>
    </row>
    <row r="101" ht="12.75">
      <c r="A101" t="s">
        <v>78</v>
      </c>
    </row>
    <row r="102" spans="1:3" ht="12.75">
      <c r="A102">
        <f>'Tape lengths'!AI21</f>
        <v>3192.9</v>
      </c>
      <c r="B102" t="s">
        <v>76</v>
      </c>
      <c r="C102">
        <f>'Tape lengths'!AJ21-'Tape lengths'!AK21</f>
        <v>1077.45</v>
      </c>
    </row>
    <row r="103" spans="1:4" ht="12.75">
      <c r="A103" s="89"/>
      <c r="B103" s="89"/>
      <c r="C103" s="89"/>
      <c r="D103" s="89"/>
    </row>
    <row r="104" ht="12.75">
      <c r="A104" t="s">
        <v>88</v>
      </c>
    </row>
    <row r="105" ht="12.75">
      <c r="A105" t="s">
        <v>92</v>
      </c>
    </row>
    <row r="106" ht="12.75">
      <c r="A106" t="s">
        <v>75</v>
      </c>
    </row>
    <row r="107" spans="1:3" ht="12.75">
      <c r="A107">
        <f>'Tape lengths'!K20</f>
        <v>2138.325</v>
      </c>
      <c r="B107" t="s">
        <v>76</v>
      </c>
      <c r="C107">
        <f>'Tape lengths'!L20-'Tape lengths'!P20</f>
        <v>558.65</v>
      </c>
    </row>
    <row r="108" spans="1:3" ht="12.75">
      <c r="A108">
        <f>'Tape lengths'!K20</f>
        <v>2138.325</v>
      </c>
      <c r="B108" t="s">
        <v>76</v>
      </c>
      <c r="C108">
        <f>'Tape lengths'!N20</f>
        <v>577.325</v>
      </c>
    </row>
    <row r="109" ht="12.75">
      <c r="A109" t="s">
        <v>77</v>
      </c>
    </row>
    <row r="110" spans="1:4" ht="12.75">
      <c r="A110" t="s">
        <v>74</v>
      </c>
      <c r="B110">
        <f>'Tape lengths'!O20</f>
        <v>5.175</v>
      </c>
      <c r="C110" t="s">
        <v>76</v>
      </c>
      <c r="D110">
        <f>'Tape lengths'!O20</f>
        <v>5.175</v>
      </c>
    </row>
    <row r="111" ht="12.75">
      <c r="A111" t="s">
        <v>78</v>
      </c>
    </row>
    <row r="112" spans="1:3" ht="12.75">
      <c r="A112">
        <f>'Tape lengths'!V20</f>
        <v>2733.1</v>
      </c>
      <c r="B112" t="s">
        <v>76</v>
      </c>
      <c r="C112">
        <f>'Tape lengths'!W20-'Tape lengths'!X20</f>
        <v>586.25</v>
      </c>
    </row>
    <row r="113" ht="12.75">
      <c r="A113" t="s">
        <v>77</v>
      </c>
    </row>
    <row r="114" spans="1:4" ht="12.75">
      <c r="A114" t="s">
        <v>74</v>
      </c>
      <c r="B114">
        <f>'Tape lengths'!X20</f>
        <v>24.75</v>
      </c>
      <c r="C114" t="s">
        <v>76</v>
      </c>
      <c r="D114">
        <f>'Tape lengths'!X20</f>
        <v>24.75</v>
      </c>
    </row>
    <row r="115" ht="12.75">
      <c r="A115" t="s">
        <v>78</v>
      </c>
    </row>
    <row r="116" spans="1:3" ht="12.75">
      <c r="A116">
        <f>'Tape lengths'!V20+'Tape lengths'!X20</f>
        <v>2757.85</v>
      </c>
      <c r="B116" t="s">
        <v>76</v>
      </c>
      <c r="C116">
        <f>'Tape lengths'!W20</f>
        <v>611</v>
      </c>
    </row>
    <row r="117" spans="1:3" ht="12.75">
      <c r="A117">
        <f>A116</f>
        <v>2757.85</v>
      </c>
      <c r="B117" t="s">
        <v>76</v>
      </c>
      <c r="C117">
        <f>'Tape lengths'!Z20</f>
        <v>750</v>
      </c>
    </row>
    <row r="118" spans="1:3" ht="12.75">
      <c r="A118">
        <f>'Tape lengths'!AC20-'Tape lengths'!AE20</f>
        <v>2770.9500000000003</v>
      </c>
      <c r="B118" t="s">
        <v>76</v>
      </c>
      <c r="C118">
        <f>'Tape lengths'!AD20</f>
        <v>1070.4</v>
      </c>
    </row>
    <row r="119" ht="12.75">
      <c r="A119" t="s">
        <v>77</v>
      </c>
    </row>
    <row r="120" spans="1:4" ht="12.75">
      <c r="A120" t="s">
        <v>74</v>
      </c>
      <c r="B120">
        <f>'Tape lengths'!AE20</f>
        <v>16.349999999999998</v>
      </c>
      <c r="C120" t="s">
        <v>76</v>
      </c>
      <c r="D120">
        <f>'Tape lengths'!AE20</f>
        <v>16.349999999999998</v>
      </c>
    </row>
    <row r="121" ht="12.75">
      <c r="A121" t="s">
        <v>78</v>
      </c>
    </row>
    <row r="122" spans="1:3" ht="12.75">
      <c r="A122">
        <f>'Tape lengths'!AI20</f>
        <v>3192.9</v>
      </c>
      <c r="B122" t="s">
        <v>76</v>
      </c>
      <c r="C122">
        <f>'Tape lengths'!AJ20-'Tape lengths'!AK20</f>
        <v>1078.15</v>
      </c>
    </row>
    <row r="123" spans="1:4" ht="12.75">
      <c r="A123" s="89"/>
      <c r="B123" s="89"/>
      <c r="C123" s="89"/>
      <c r="D123" s="89"/>
    </row>
    <row r="124" ht="12.75">
      <c r="A124" t="s">
        <v>88</v>
      </c>
    </row>
    <row r="125" ht="12.75">
      <c r="A125" t="s">
        <v>91</v>
      </c>
    </row>
    <row r="126" ht="12.75">
      <c r="A126" t="s">
        <v>75</v>
      </c>
    </row>
    <row r="127" spans="1:3" ht="12.75">
      <c r="A127">
        <f>'Tape lengths'!K19</f>
        <v>1819.025</v>
      </c>
      <c r="B127" t="s">
        <v>76</v>
      </c>
      <c r="C127">
        <f>'Tape lengths'!L19-'Tape lengths'!P19</f>
        <v>558.65</v>
      </c>
    </row>
    <row r="128" spans="1:3" ht="12.75">
      <c r="A128">
        <f>'Tape lengths'!K19</f>
        <v>1819.025</v>
      </c>
      <c r="B128" t="s">
        <v>76</v>
      </c>
      <c r="C128">
        <f>'Tape lengths'!N19</f>
        <v>577.325</v>
      </c>
    </row>
    <row r="129" ht="12.75">
      <c r="A129" t="s">
        <v>77</v>
      </c>
    </row>
    <row r="130" spans="1:4" ht="12.75">
      <c r="A130" t="s">
        <v>74</v>
      </c>
      <c r="B130">
        <f>'Tape lengths'!O19</f>
        <v>5.175</v>
      </c>
      <c r="C130" t="s">
        <v>76</v>
      </c>
      <c r="D130">
        <f>'Tape lengths'!O19</f>
        <v>5.175</v>
      </c>
    </row>
    <row r="131" ht="12.75">
      <c r="A131" t="s">
        <v>78</v>
      </c>
    </row>
    <row r="132" spans="1:3" ht="12.75">
      <c r="A132">
        <f>'Tape lengths'!V19</f>
        <v>2733.1</v>
      </c>
      <c r="B132" t="s">
        <v>76</v>
      </c>
      <c r="C132">
        <f>'Tape lengths'!W19-'Tape lengths'!X19</f>
        <v>586.95</v>
      </c>
    </row>
    <row r="133" ht="12.75">
      <c r="A133" t="s">
        <v>77</v>
      </c>
    </row>
    <row r="134" spans="1:4" ht="12.75">
      <c r="A134" t="s">
        <v>74</v>
      </c>
      <c r="B134">
        <f>'Tape lengths'!X19</f>
        <v>24.05</v>
      </c>
      <c r="C134" t="s">
        <v>76</v>
      </c>
      <c r="D134">
        <f>'Tape lengths'!X19</f>
        <v>24.05</v>
      </c>
    </row>
    <row r="135" ht="12.75">
      <c r="A135" t="s">
        <v>78</v>
      </c>
    </row>
    <row r="136" spans="1:3" ht="12.75">
      <c r="A136">
        <f>'Tape lengths'!V19+'Tape lengths'!X19</f>
        <v>2757.15</v>
      </c>
      <c r="B136" t="s">
        <v>76</v>
      </c>
      <c r="C136">
        <f>'Tape lengths'!W19</f>
        <v>611</v>
      </c>
    </row>
    <row r="137" spans="1:3" ht="12.75">
      <c r="A137">
        <f>A136</f>
        <v>2757.15</v>
      </c>
      <c r="B137" t="s">
        <v>76</v>
      </c>
      <c r="C137">
        <f>'Tape lengths'!Z19</f>
        <v>750</v>
      </c>
    </row>
    <row r="138" spans="1:3" ht="12.75">
      <c r="A138">
        <f>'Tape lengths'!AC19-'Tape lengths'!AE19</f>
        <v>2770.25</v>
      </c>
      <c r="B138" t="s">
        <v>76</v>
      </c>
      <c r="C138">
        <f>'Tape lengths'!AD19</f>
        <v>1070.4</v>
      </c>
    </row>
    <row r="139" ht="12.75">
      <c r="A139" t="s">
        <v>77</v>
      </c>
    </row>
    <row r="140" spans="1:4" ht="12.75">
      <c r="A140" t="s">
        <v>74</v>
      </c>
      <c r="B140">
        <f>'Tape lengths'!AE19</f>
        <v>17.049999999999997</v>
      </c>
      <c r="C140" t="s">
        <v>76</v>
      </c>
      <c r="D140">
        <f>'Tape lengths'!AE19</f>
        <v>17.049999999999997</v>
      </c>
    </row>
    <row r="141" ht="12.75">
      <c r="A141" t="s">
        <v>78</v>
      </c>
    </row>
    <row r="142" spans="1:3" ht="12.75">
      <c r="A142">
        <f>'Tape lengths'!AI19</f>
        <v>3192.9</v>
      </c>
      <c r="B142" t="s">
        <v>76</v>
      </c>
      <c r="C142">
        <f>'Tape lengths'!AJ19-'Tape lengths'!AK19</f>
        <v>1078.8500000000001</v>
      </c>
    </row>
    <row r="143" spans="1:4" ht="12.75">
      <c r="A143" s="89"/>
      <c r="B143" s="89"/>
      <c r="C143" s="89"/>
      <c r="D143" s="89"/>
    </row>
    <row r="144" ht="12.75">
      <c r="A144" t="s">
        <v>88</v>
      </c>
    </row>
    <row r="145" ht="12.75">
      <c r="A145" t="s">
        <v>92</v>
      </c>
    </row>
    <row r="146" ht="12.75">
      <c r="A146" t="s">
        <v>75</v>
      </c>
    </row>
    <row r="147" spans="1:3" ht="12.75">
      <c r="A147">
        <f>'Tape lengths'!K18</f>
        <v>1806.775</v>
      </c>
      <c r="B147" t="s">
        <v>76</v>
      </c>
      <c r="C147">
        <f>'Tape lengths'!L18-'Tape lengths'!P18</f>
        <v>558.65</v>
      </c>
    </row>
    <row r="148" spans="1:3" ht="12.75">
      <c r="A148">
        <f>'Tape lengths'!K18</f>
        <v>1806.775</v>
      </c>
      <c r="B148" t="s">
        <v>76</v>
      </c>
      <c r="C148">
        <f>'Tape lengths'!N18</f>
        <v>577.325</v>
      </c>
    </row>
    <row r="149" ht="12.75">
      <c r="A149" t="s">
        <v>77</v>
      </c>
    </row>
    <row r="150" spans="1:4" ht="12.75">
      <c r="A150" t="s">
        <v>74</v>
      </c>
      <c r="B150">
        <f>'Tape lengths'!O18</f>
        <v>5.175</v>
      </c>
      <c r="C150" t="s">
        <v>76</v>
      </c>
      <c r="D150">
        <f>'Tape lengths'!O18</f>
        <v>5.175</v>
      </c>
    </row>
    <row r="151" ht="12.75">
      <c r="A151" t="s">
        <v>78</v>
      </c>
    </row>
    <row r="152" spans="1:3" ht="12.75">
      <c r="A152">
        <f>'Tape lengths'!V18</f>
        <v>2733.1</v>
      </c>
      <c r="B152" t="s">
        <v>76</v>
      </c>
      <c r="C152">
        <f>'Tape lengths'!W18-'Tape lengths'!X18</f>
        <v>587.65</v>
      </c>
    </row>
    <row r="153" ht="12.75">
      <c r="A153" t="s">
        <v>77</v>
      </c>
    </row>
    <row r="154" spans="1:4" ht="12.75">
      <c r="A154" t="s">
        <v>74</v>
      </c>
      <c r="B154">
        <f>'Tape lengths'!X18</f>
        <v>23.35</v>
      </c>
      <c r="C154" t="s">
        <v>76</v>
      </c>
      <c r="D154">
        <f>'Tape lengths'!X18</f>
        <v>23.35</v>
      </c>
    </row>
    <row r="155" ht="12.75">
      <c r="A155" t="s">
        <v>78</v>
      </c>
    </row>
    <row r="156" spans="1:3" ht="12.75">
      <c r="A156">
        <f>'Tape lengths'!V18+'Tape lengths'!X18</f>
        <v>2756.45</v>
      </c>
      <c r="B156" t="s">
        <v>76</v>
      </c>
      <c r="C156">
        <f>'Tape lengths'!W18</f>
        <v>611</v>
      </c>
    </row>
    <row r="157" spans="1:3" ht="12.75">
      <c r="A157">
        <f>A156</f>
        <v>2756.45</v>
      </c>
      <c r="B157" t="s">
        <v>76</v>
      </c>
      <c r="C157">
        <f>'Tape lengths'!Z18</f>
        <v>750</v>
      </c>
    </row>
    <row r="158" spans="1:3" ht="12.75">
      <c r="A158">
        <f>'Tape lengths'!AC18-'Tape lengths'!AE18</f>
        <v>2769.55</v>
      </c>
      <c r="B158" t="s">
        <v>76</v>
      </c>
      <c r="C158">
        <f>'Tape lengths'!AD18</f>
        <v>1070.4</v>
      </c>
    </row>
    <row r="159" ht="12.75">
      <c r="A159" t="s">
        <v>77</v>
      </c>
    </row>
    <row r="160" spans="1:4" ht="12.75">
      <c r="A160" t="s">
        <v>74</v>
      </c>
      <c r="B160">
        <f>'Tape lengths'!AE18</f>
        <v>17.75</v>
      </c>
      <c r="C160" t="s">
        <v>76</v>
      </c>
      <c r="D160">
        <f>'Tape lengths'!AE18</f>
        <v>17.75</v>
      </c>
    </row>
    <row r="161" ht="12.75">
      <c r="A161" t="s">
        <v>78</v>
      </c>
    </row>
    <row r="162" spans="1:3" ht="12.75">
      <c r="A162">
        <f>'Tape lengths'!AI18</f>
        <v>3192.9</v>
      </c>
      <c r="B162" t="s">
        <v>76</v>
      </c>
      <c r="C162">
        <f>'Tape lengths'!AJ18-'Tape lengths'!AK18</f>
        <v>1079.5500000000002</v>
      </c>
    </row>
    <row r="163" spans="1:4" ht="12.75">
      <c r="A163" s="89"/>
      <c r="B163" s="89"/>
      <c r="C163" s="89"/>
      <c r="D163" s="89"/>
    </row>
    <row r="164" ht="12.75">
      <c r="A164" t="s">
        <v>88</v>
      </c>
    </row>
    <row r="165" ht="12.75">
      <c r="A165" t="s">
        <v>90</v>
      </c>
    </row>
    <row r="166" ht="12.75">
      <c r="A166" t="s">
        <v>75</v>
      </c>
    </row>
    <row r="167" spans="1:3" ht="12.75">
      <c r="A167">
        <f>'Tape lengths'!K17</f>
        <v>1794.525</v>
      </c>
      <c r="B167" t="s">
        <v>76</v>
      </c>
      <c r="C167">
        <f>'Tape lengths'!L17-'Tape lengths'!P17</f>
        <v>558.65</v>
      </c>
    </row>
    <row r="168" spans="1:3" ht="12.75">
      <c r="A168">
        <f>'Tape lengths'!K17</f>
        <v>1794.525</v>
      </c>
      <c r="B168" t="s">
        <v>76</v>
      </c>
      <c r="C168">
        <f>'Tape lengths'!N17</f>
        <v>577.325</v>
      </c>
    </row>
    <row r="169" ht="12.75">
      <c r="A169" t="s">
        <v>77</v>
      </c>
    </row>
    <row r="170" spans="1:4" ht="12.75">
      <c r="A170" t="s">
        <v>74</v>
      </c>
      <c r="B170">
        <f>'Tape lengths'!O17</f>
        <v>5.175</v>
      </c>
      <c r="C170" t="s">
        <v>76</v>
      </c>
      <c r="D170">
        <f>'Tape lengths'!O17</f>
        <v>5.175</v>
      </c>
    </row>
    <row r="171" ht="12.75">
      <c r="A171" t="s">
        <v>78</v>
      </c>
    </row>
    <row r="172" spans="1:3" ht="12.75">
      <c r="A172">
        <f>'Tape lengths'!V17</f>
        <v>2733.1</v>
      </c>
      <c r="B172" t="s">
        <v>76</v>
      </c>
      <c r="C172">
        <f>'Tape lengths'!W17-'Tape lengths'!X17</f>
        <v>588.35</v>
      </c>
    </row>
    <row r="173" ht="12.75">
      <c r="A173" t="s">
        <v>77</v>
      </c>
    </row>
    <row r="174" spans="1:4" ht="12.75">
      <c r="A174" t="s">
        <v>74</v>
      </c>
      <c r="B174">
        <f>'Tape lengths'!X17</f>
        <v>22.65</v>
      </c>
      <c r="C174" t="s">
        <v>76</v>
      </c>
      <c r="D174">
        <f>'Tape lengths'!X17</f>
        <v>22.65</v>
      </c>
    </row>
    <row r="175" ht="12.75">
      <c r="A175" t="s">
        <v>78</v>
      </c>
    </row>
    <row r="176" spans="1:3" ht="12.75">
      <c r="A176">
        <f>'Tape lengths'!V17+'Tape lengths'!X17</f>
        <v>2755.75</v>
      </c>
      <c r="B176" t="s">
        <v>76</v>
      </c>
      <c r="C176">
        <f>'Tape lengths'!W17</f>
        <v>611</v>
      </c>
    </row>
    <row r="177" spans="1:3" ht="12.75">
      <c r="A177">
        <f>A176</f>
        <v>2755.75</v>
      </c>
      <c r="B177" t="s">
        <v>76</v>
      </c>
      <c r="C177">
        <f>'Tape lengths'!Z17</f>
        <v>750</v>
      </c>
    </row>
    <row r="178" spans="1:3" ht="12.75">
      <c r="A178">
        <f>'Tape lengths'!AC17-'Tape lengths'!AE17</f>
        <v>2768.8500000000004</v>
      </c>
      <c r="B178" t="s">
        <v>76</v>
      </c>
      <c r="C178">
        <f>'Tape lengths'!AD17</f>
        <v>1070.4</v>
      </c>
    </row>
    <row r="179" ht="12.75">
      <c r="A179" t="s">
        <v>77</v>
      </c>
    </row>
    <row r="180" spans="1:4" ht="12.75">
      <c r="A180" t="s">
        <v>74</v>
      </c>
      <c r="B180">
        <f>'Tape lengths'!AE17</f>
        <v>18.45</v>
      </c>
      <c r="C180" t="s">
        <v>76</v>
      </c>
      <c r="D180">
        <f>'Tape lengths'!AE17</f>
        <v>18.45</v>
      </c>
    </row>
    <row r="181" ht="12.75">
      <c r="A181" t="s">
        <v>78</v>
      </c>
    </row>
    <row r="182" spans="1:3" ht="12.75">
      <c r="A182">
        <f>'Tape lengths'!AI17</f>
        <v>3192.9</v>
      </c>
      <c r="B182" t="s">
        <v>76</v>
      </c>
      <c r="C182">
        <f>'Tape lengths'!AJ17-'Tape lengths'!AK17</f>
        <v>1080.25</v>
      </c>
    </row>
    <row r="183" spans="1:4" ht="12.75">
      <c r="A183" s="89"/>
      <c r="B183" s="89"/>
      <c r="C183" s="89"/>
      <c r="D183" s="89"/>
    </row>
    <row r="184" ht="12.75">
      <c r="A184" t="s">
        <v>88</v>
      </c>
    </row>
    <row r="185" ht="12.75">
      <c r="A185" t="s">
        <v>91</v>
      </c>
    </row>
    <row r="186" ht="12.75">
      <c r="A186" t="s">
        <v>75</v>
      </c>
    </row>
    <row r="187" spans="1:3" ht="12.75">
      <c r="A187">
        <f>'Tape lengths'!K16</f>
        <v>1447.325</v>
      </c>
      <c r="B187" t="s">
        <v>76</v>
      </c>
      <c r="C187">
        <f>'Tape lengths'!L16-'Tape lengths'!P16</f>
        <v>558.65</v>
      </c>
    </row>
    <row r="188" spans="1:3" ht="12.75">
      <c r="A188">
        <f>'Tape lengths'!K16</f>
        <v>1447.325</v>
      </c>
      <c r="B188" t="s">
        <v>76</v>
      </c>
      <c r="C188">
        <f>'Tape lengths'!N16</f>
        <v>577.325</v>
      </c>
    </row>
    <row r="189" ht="12.75">
      <c r="A189" t="s">
        <v>77</v>
      </c>
    </row>
    <row r="190" spans="1:4" ht="12.75">
      <c r="A190" t="s">
        <v>74</v>
      </c>
      <c r="B190">
        <f>'Tape lengths'!O16</f>
        <v>5.175</v>
      </c>
      <c r="C190" t="s">
        <v>76</v>
      </c>
      <c r="D190">
        <f>'Tape lengths'!O16</f>
        <v>5.175</v>
      </c>
    </row>
    <row r="191" ht="12.75">
      <c r="A191" t="s">
        <v>78</v>
      </c>
    </row>
    <row r="192" spans="1:3" ht="12.75">
      <c r="A192">
        <f>'Tape lengths'!V16</f>
        <v>2733.1</v>
      </c>
      <c r="B192" t="s">
        <v>76</v>
      </c>
      <c r="C192">
        <f>'Tape lengths'!W16-'Tape lengths'!X16</f>
        <v>589.05</v>
      </c>
    </row>
    <row r="193" ht="12.75">
      <c r="A193" t="s">
        <v>77</v>
      </c>
    </row>
    <row r="194" spans="1:4" ht="12.75">
      <c r="A194" t="s">
        <v>74</v>
      </c>
      <c r="B194">
        <f>'Tape lengths'!X16</f>
        <v>21.950000000000003</v>
      </c>
      <c r="C194" t="s">
        <v>76</v>
      </c>
      <c r="D194">
        <f>'Tape lengths'!X16</f>
        <v>21.950000000000003</v>
      </c>
    </row>
    <row r="195" ht="12.75">
      <c r="A195" t="s">
        <v>78</v>
      </c>
    </row>
    <row r="196" spans="1:3" ht="12.75">
      <c r="A196">
        <f>'Tape lengths'!V16+'Tape lengths'!X16</f>
        <v>2755.0499999999997</v>
      </c>
      <c r="B196" t="s">
        <v>76</v>
      </c>
      <c r="C196">
        <f>'Tape lengths'!W16</f>
        <v>611</v>
      </c>
    </row>
    <row r="197" spans="1:3" ht="12.75">
      <c r="A197">
        <f>A196</f>
        <v>2755.0499999999997</v>
      </c>
      <c r="B197" t="s">
        <v>76</v>
      </c>
      <c r="C197">
        <f>'Tape lengths'!Z16</f>
        <v>750</v>
      </c>
    </row>
    <row r="198" spans="1:3" ht="12.75">
      <c r="A198">
        <f>'Tape lengths'!AC16-'Tape lengths'!AE16</f>
        <v>2768.15</v>
      </c>
      <c r="B198" t="s">
        <v>76</v>
      </c>
      <c r="C198">
        <f>'Tape lengths'!AD16</f>
        <v>1070.4</v>
      </c>
    </row>
    <row r="199" ht="12.75">
      <c r="A199" t="s">
        <v>77</v>
      </c>
    </row>
    <row r="200" spans="1:4" ht="12.75">
      <c r="A200" t="s">
        <v>74</v>
      </c>
      <c r="B200">
        <f>'Tape lengths'!AE16</f>
        <v>19.15</v>
      </c>
      <c r="C200" t="s">
        <v>76</v>
      </c>
      <c r="D200">
        <f>'Tape lengths'!AE16</f>
        <v>19.15</v>
      </c>
    </row>
    <row r="201" ht="12.75">
      <c r="A201" t="s">
        <v>78</v>
      </c>
    </row>
    <row r="202" spans="1:3" ht="12.75">
      <c r="A202">
        <f>'Tape lengths'!AI16</f>
        <v>3192.9</v>
      </c>
      <c r="B202" t="s">
        <v>76</v>
      </c>
      <c r="C202">
        <f>'Tape lengths'!AJ16-'Tape lengths'!AK16</f>
        <v>1080.95</v>
      </c>
    </row>
    <row r="203" spans="1:4" ht="12.75">
      <c r="A203" s="89"/>
      <c r="B203" s="89"/>
      <c r="C203" s="89"/>
      <c r="D203" s="89"/>
    </row>
    <row r="204" ht="12.75">
      <c r="A204" t="s">
        <v>88</v>
      </c>
    </row>
    <row r="205" ht="12.75">
      <c r="A205" t="s">
        <v>92</v>
      </c>
    </row>
    <row r="206" ht="12.75">
      <c r="A206" t="s">
        <v>75</v>
      </c>
    </row>
    <row r="207" spans="1:3" ht="12.75">
      <c r="A207">
        <f>'Tape lengths'!K15</f>
        <v>1435.075</v>
      </c>
      <c r="B207" t="s">
        <v>76</v>
      </c>
      <c r="C207">
        <f>'Tape lengths'!L15-'Tape lengths'!P15</f>
        <v>558.65</v>
      </c>
    </row>
    <row r="208" spans="1:3" ht="12.75">
      <c r="A208">
        <f>'Tape lengths'!K15</f>
        <v>1435.075</v>
      </c>
      <c r="B208" t="s">
        <v>76</v>
      </c>
      <c r="C208">
        <f>'Tape lengths'!N15</f>
        <v>577.325</v>
      </c>
    </row>
    <row r="209" ht="12.75">
      <c r="A209" t="s">
        <v>77</v>
      </c>
    </row>
    <row r="210" spans="1:4" ht="12.75">
      <c r="A210" t="s">
        <v>74</v>
      </c>
      <c r="B210">
        <f>'Tape lengths'!O15</f>
        <v>5.175</v>
      </c>
      <c r="C210" t="s">
        <v>76</v>
      </c>
      <c r="D210">
        <f>'Tape lengths'!O15</f>
        <v>5.175</v>
      </c>
    </row>
    <row r="211" ht="12.75">
      <c r="A211" t="s">
        <v>78</v>
      </c>
    </row>
    <row r="212" spans="1:3" ht="12.75">
      <c r="A212">
        <f>'Tape lengths'!V15</f>
        <v>2733.1</v>
      </c>
      <c r="B212" t="s">
        <v>76</v>
      </c>
      <c r="C212">
        <f>'Tape lengths'!W15-'Tape lengths'!X15</f>
        <v>589.75</v>
      </c>
    </row>
    <row r="213" ht="12.75">
      <c r="A213" t="s">
        <v>77</v>
      </c>
    </row>
    <row r="214" spans="1:4" ht="12.75">
      <c r="A214" t="s">
        <v>74</v>
      </c>
      <c r="B214">
        <f>'Tape lengths'!X15</f>
        <v>21.25</v>
      </c>
      <c r="C214" t="s">
        <v>76</v>
      </c>
      <c r="D214">
        <f>'Tape lengths'!X15</f>
        <v>21.25</v>
      </c>
    </row>
    <row r="215" ht="12.75">
      <c r="A215" t="s">
        <v>78</v>
      </c>
    </row>
    <row r="216" spans="1:3" ht="12" customHeight="1">
      <c r="A216">
        <f>'Tape lengths'!V15+'Tape lengths'!X15</f>
        <v>2754.35</v>
      </c>
      <c r="B216" t="s">
        <v>76</v>
      </c>
      <c r="C216">
        <f>'Tape lengths'!W15</f>
        <v>611</v>
      </c>
    </row>
    <row r="217" spans="1:3" ht="12.75">
      <c r="A217">
        <f>A216</f>
        <v>2754.35</v>
      </c>
      <c r="B217" t="s">
        <v>76</v>
      </c>
      <c r="C217">
        <f>'Tape lengths'!Z15</f>
        <v>750</v>
      </c>
    </row>
    <row r="218" spans="1:3" ht="12.75">
      <c r="A218">
        <f>'Tape lengths'!AC15-'Tape lengths'!AE15</f>
        <v>2767.4500000000003</v>
      </c>
      <c r="B218" t="s">
        <v>76</v>
      </c>
      <c r="C218">
        <f>'Tape lengths'!AD15</f>
        <v>1070.4</v>
      </c>
    </row>
    <row r="219" ht="12.75">
      <c r="A219" t="s">
        <v>77</v>
      </c>
    </row>
    <row r="220" spans="1:4" ht="12.75">
      <c r="A220" t="s">
        <v>74</v>
      </c>
      <c r="B220">
        <f>'Tape lengths'!AE15</f>
        <v>19.849999999999998</v>
      </c>
      <c r="C220" t="s">
        <v>76</v>
      </c>
      <c r="D220">
        <f>'Tape lengths'!AE15</f>
        <v>19.849999999999998</v>
      </c>
    </row>
    <row r="221" ht="12.75">
      <c r="A221" t="s">
        <v>78</v>
      </c>
    </row>
    <row r="222" spans="1:3" ht="12.75">
      <c r="A222">
        <f>'Tape lengths'!AI15</f>
        <v>3192.9</v>
      </c>
      <c r="B222" t="s">
        <v>76</v>
      </c>
      <c r="C222">
        <f>'Tape lengths'!AJ15-'Tape lengths'!AK15</f>
        <v>1081.65</v>
      </c>
    </row>
    <row r="223" spans="1:4" ht="12.75">
      <c r="A223" s="89"/>
      <c r="B223" s="89"/>
      <c r="C223" s="89"/>
      <c r="D223" s="89"/>
    </row>
    <row r="224" ht="12.75">
      <c r="A224" t="s">
        <v>88</v>
      </c>
    </row>
    <row r="225" ht="12.75">
      <c r="A225" t="s">
        <v>90</v>
      </c>
    </row>
    <row r="226" ht="12.75">
      <c r="A226" t="s">
        <v>75</v>
      </c>
    </row>
    <row r="227" spans="1:3" ht="12.75">
      <c r="A227">
        <f>'Tape lengths'!K14</f>
        <v>1422.825</v>
      </c>
      <c r="B227" t="s">
        <v>76</v>
      </c>
      <c r="C227">
        <f>'Tape lengths'!L14-'Tape lengths'!P14</f>
        <v>558.65</v>
      </c>
    </row>
    <row r="228" spans="1:3" ht="12.75">
      <c r="A228">
        <f>'Tape lengths'!K14</f>
        <v>1422.825</v>
      </c>
      <c r="B228" t="s">
        <v>76</v>
      </c>
      <c r="C228">
        <f>'Tape lengths'!N14</f>
        <v>577.325</v>
      </c>
    </row>
    <row r="229" ht="12.75">
      <c r="A229" t="s">
        <v>77</v>
      </c>
    </row>
    <row r="230" spans="1:4" ht="12.75">
      <c r="A230" t="s">
        <v>74</v>
      </c>
      <c r="B230">
        <f>'Tape lengths'!O14</f>
        <v>5.175</v>
      </c>
      <c r="C230" t="s">
        <v>76</v>
      </c>
      <c r="D230">
        <f>'Tape lengths'!O14</f>
        <v>5.175</v>
      </c>
    </row>
    <row r="231" ht="12.75">
      <c r="A231" t="s">
        <v>78</v>
      </c>
    </row>
    <row r="232" spans="1:3" ht="12.75">
      <c r="A232">
        <f>'Tape lengths'!V14</f>
        <v>2733.1</v>
      </c>
      <c r="B232" t="s">
        <v>76</v>
      </c>
      <c r="C232">
        <f>'Tape lengths'!W14-'Tape lengths'!X14</f>
        <v>590.45</v>
      </c>
    </row>
    <row r="233" ht="12.75">
      <c r="A233" t="s">
        <v>77</v>
      </c>
    </row>
    <row r="234" spans="1:4" ht="12.75">
      <c r="A234" t="s">
        <v>74</v>
      </c>
      <c r="B234">
        <f>'Tape lengths'!X14</f>
        <v>20.55</v>
      </c>
      <c r="C234" t="s">
        <v>76</v>
      </c>
      <c r="D234">
        <f>'Tape lengths'!X14</f>
        <v>20.55</v>
      </c>
    </row>
    <row r="235" ht="12.75">
      <c r="A235" t="s">
        <v>78</v>
      </c>
    </row>
    <row r="236" spans="1:3" ht="12.75">
      <c r="A236">
        <f>'Tape lengths'!V14+'Tape lengths'!X14</f>
        <v>2753.65</v>
      </c>
      <c r="B236" t="s">
        <v>76</v>
      </c>
      <c r="C236">
        <f>'Tape lengths'!W14</f>
        <v>611</v>
      </c>
    </row>
    <row r="237" spans="1:3" ht="12.75">
      <c r="A237">
        <f>A236</f>
        <v>2753.65</v>
      </c>
      <c r="B237" t="s">
        <v>76</v>
      </c>
      <c r="C237">
        <f>'Tape lengths'!Z14</f>
        <v>750</v>
      </c>
    </row>
    <row r="238" spans="1:3" ht="12.75">
      <c r="A238">
        <f>'Tape lengths'!AC14-'Tape lengths'!AE14</f>
        <v>2766.75</v>
      </c>
      <c r="B238" t="s">
        <v>76</v>
      </c>
      <c r="C238">
        <f>'Tape lengths'!AD14</f>
        <v>1070.4</v>
      </c>
    </row>
    <row r="239" ht="12.75">
      <c r="A239" t="s">
        <v>77</v>
      </c>
    </row>
    <row r="240" spans="1:4" ht="12.75">
      <c r="A240" t="s">
        <v>74</v>
      </c>
      <c r="B240">
        <f>'Tape lengths'!AE14</f>
        <v>20.549999999999997</v>
      </c>
      <c r="C240" t="s">
        <v>76</v>
      </c>
      <c r="D240">
        <f>'Tape lengths'!AE14</f>
        <v>20.549999999999997</v>
      </c>
    </row>
    <row r="241" ht="12.75">
      <c r="A241" t="s">
        <v>78</v>
      </c>
    </row>
    <row r="242" spans="1:3" ht="12.75">
      <c r="A242">
        <f>'Tape lengths'!AI14</f>
        <v>3192.9</v>
      </c>
      <c r="B242" t="s">
        <v>76</v>
      </c>
      <c r="C242">
        <f>'Tape lengths'!AJ14-'Tape lengths'!AK14</f>
        <v>1082.3500000000001</v>
      </c>
    </row>
    <row r="243" spans="1:4" ht="12.75">
      <c r="A243" s="89"/>
      <c r="B243" s="89"/>
      <c r="C243" s="89"/>
      <c r="D243" s="89"/>
    </row>
    <row r="244" ht="12.75">
      <c r="A244" t="s">
        <v>88</v>
      </c>
    </row>
    <row r="245" ht="12.75">
      <c r="A245" t="s">
        <v>91</v>
      </c>
    </row>
    <row r="246" ht="12.75">
      <c r="A246" t="s">
        <v>75</v>
      </c>
    </row>
    <row r="247" spans="1:3" ht="12.75">
      <c r="A247">
        <f>'Tape lengths'!K13</f>
        <v>1347.525</v>
      </c>
      <c r="B247" t="s">
        <v>76</v>
      </c>
      <c r="C247">
        <f>'Tape lengths'!L13-'Tape lengths'!P13</f>
        <v>558.65</v>
      </c>
    </row>
    <row r="248" spans="1:3" ht="12.75">
      <c r="A248">
        <f>'Tape lengths'!K13</f>
        <v>1347.525</v>
      </c>
      <c r="B248" t="s">
        <v>76</v>
      </c>
      <c r="C248">
        <f>'Tape lengths'!N13</f>
        <v>577.325</v>
      </c>
    </row>
    <row r="249" ht="12.75">
      <c r="A249" t="s">
        <v>77</v>
      </c>
    </row>
    <row r="250" spans="1:4" ht="12.75">
      <c r="A250" t="s">
        <v>74</v>
      </c>
      <c r="B250">
        <f>'Tape lengths'!O13</f>
        <v>5.175</v>
      </c>
      <c r="C250" t="s">
        <v>76</v>
      </c>
      <c r="D250">
        <f>'Tape lengths'!O13</f>
        <v>5.175</v>
      </c>
    </row>
    <row r="251" ht="12.75">
      <c r="A251" t="s">
        <v>78</v>
      </c>
    </row>
    <row r="252" spans="1:3" ht="12.75">
      <c r="A252">
        <f>'Tape lengths'!V13</f>
        <v>2733.1</v>
      </c>
      <c r="B252" t="s">
        <v>76</v>
      </c>
      <c r="C252">
        <f>'Tape lengths'!W13-'Tape lengths'!X13</f>
        <v>591.15</v>
      </c>
    </row>
    <row r="253" ht="12.75">
      <c r="A253" t="s">
        <v>77</v>
      </c>
    </row>
    <row r="254" spans="1:4" ht="12.75">
      <c r="A254" t="s">
        <v>74</v>
      </c>
      <c r="B254">
        <f>'Tape lengths'!X13</f>
        <v>19.85</v>
      </c>
      <c r="C254" t="s">
        <v>76</v>
      </c>
      <c r="D254">
        <f>'Tape lengths'!X13</f>
        <v>19.85</v>
      </c>
    </row>
    <row r="255" ht="12.75">
      <c r="A255" t="s">
        <v>78</v>
      </c>
    </row>
    <row r="256" spans="1:3" ht="12.75">
      <c r="A256">
        <f>'Tape lengths'!V13+'Tape lengths'!X13</f>
        <v>2752.95</v>
      </c>
      <c r="B256" t="s">
        <v>76</v>
      </c>
      <c r="C256">
        <f>'Tape lengths'!W13</f>
        <v>611</v>
      </c>
    </row>
    <row r="257" spans="1:3" ht="12.75">
      <c r="A257">
        <f>A256</f>
        <v>2752.95</v>
      </c>
      <c r="B257" t="s">
        <v>76</v>
      </c>
      <c r="C257">
        <f>'Tape lengths'!Z13</f>
        <v>750</v>
      </c>
    </row>
    <row r="258" spans="1:3" ht="12.75">
      <c r="A258">
        <f>'Tape lengths'!AC13-'Tape lengths'!AE13</f>
        <v>2766.05</v>
      </c>
      <c r="B258" t="s">
        <v>76</v>
      </c>
      <c r="C258">
        <f>'Tape lengths'!AD13</f>
        <v>1070.4</v>
      </c>
    </row>
    <row r="259" ht="12.75">
      <c r="A259" t="s">
        <v>77</v>
      </c>
    </row>
    <row r="260" spans="1:4" ht="12.75">
      <c r="A260" t="s">
        <v>74</v>
      </c>
      <c r="B260">
        <f>'Tape lengths'!AE13</f>
        <v>21.25</v>
      </c>
      <c r="C260" t="s">
        <v>76</v>
      </c>
      <c r="D260">
        <f>'Tape lengths'!AE13</f>
        <v>21.25</v>
      </c>
    </row>
    <row r="261" ht="12.75">
      <c r="A261" t="s">
        <v>78</v>
      </c>
    </row>
    <row r="262" spans="1:3" ht="12.75">
      <c r="A262">
        <f>'Tape lengths'!AI13</f>
        <v>3192.9</v>
      </c>
      <c r="B262" t="s">
        <v>76</v>
      </c>
      <c r="C262">
        <f>'Tape lengths'!AJ13-'Tape lengths'!AK13</f>
        <v>1083.0500000000002</v>
      </c>
    </row>
    <row r="263" spans="1:4" ht="12.75">
      <c r="A263" s="89"/>
      <c r="B263" s="89"/>
      <c r="C263" s="89"/>
      <c r="D263" s="89"/>
    </row>
    <row r="264" ht="12.75">
      <c r="A264" t="s">
        <v>88</v>
      </c>
    </row>
    <row r="265" ht="12.75">
      <c r="A265" t="s">
        <v>92</v>
      </c>
    </row>
    <row r="266" ht="12.75">
      <c r="A266" t="s">
        <v>75</v>
      </c>
    </row>
    <row r="267" spans="1:3" ht="12.75">
      <c r="A267">
        <f>'Tape lengths'!K12</f>
        <v>1335.275</v>
      </c>
      <c r="B267" t="s">
        <v>76</v>
      </c>
      <c r="C267">
        <f>'Tape lengths'!L12-'Tape lengths'!P12</f>
        <v>558.65</v>
      </c>
    </row>
    <row r="268" spans="1:3" ht="12.75">
      <c r="A268">
        <f>'Tape lengths'!K12</f>
        <v>1335.275</v>
      </c>
      <c r="B268" t="s">
        <v>76</v>
      </c>
      <c r="C268">
        <f>'Tape lengths'!N12</f>
        <v>577.325</v>
      </c>
    </row>
    <row r="269" ht="12.75">
      <c r="A269" t="s">
        <v>77</v>
      </c>
    </row>
    <row r="270" spans="1:4" ht="12.75">
      <c r="A270" t="s">
        <v>74</v>
      </c>
      <c r="B270">
        <f>'Tape lengths'!O12</f>
        <v>5.175</v>
      </c>
      <c r="C270" t="s">
        <v>76</v>
      </c>
      <c r="D270">
        <f>'Tape lengths'!O12</f>
        <v>5.175</v>
      </c>
    </row>
    <row r="271" ht="12.75">
      <c r="A271" t="s">
        <v>78</v>
      </c>
    </row>
    <row r="272" spans="1:3" ht="12.75">
      <c r="A272">
        <f>'Tape lengths'!V12</f>
        <v>2733.1</v>
      </c>
      <c r="B272" t="s">
        <v>76</v>
      </c>
      <c r="C272">
        <f>'Tape lengths'!W12-'Tape lengths'!X12</f>
        <v>591.85</v>
      </c>
    </row>
    <row r="273" ht="12.75">
      <c r="A273" t="s">
        <v>77</v>
      </c>
    </row>
    <row r="274" spans="1:4" ht="12.75">
      <c r="A274" t="s">
        <v>74</v>
      </c>
      <c r="B274">
        <f>'Tape lengths'!X12</f>
        <v>19.150000000000002</v>
      </c>
      <c r="C274" t="s">
        <v>76</v>
      </c>
      <c r="D274">
        <f>'Tape lengths'!X12</f>
        <v>19.150000000000002</v>
      </c>
    </row>
    <row r="275" ht="12.75">
      <c r="A275" t="s">
        <v>78</v>
      </c>
    </row>
    <row r="276" spans="1:3" ht="12.75">
      <c r="A276">
        <f>'Tape lengths'!V12+'Tape lengths'!X12</f>
        <v>2752.25</v>
      </c>
      <c r="B276" t="s">
        <v>76</v>
      </c>
      <c r="C276">
        <f>'Tape lengths'!W12</f>
        <v>611</v>
      </c>
    </row>
    <row r="277" spans="1:3" ht="12.75">
      <c r="A277">
        <f>A276</f>
        <v>2752.25</v>
      </c>
      <c r="B277" t="s">
        <v>76</v>
      </c>
      <c r="C277">
        <f>'Tape lengths'!Z12</f>
        <v>750</v>
      </c>
    </row>
    <row r="278" spans="1:3" ht="12.75">
      <c r="A278">
        <f>'Tape lengths'!AC12-'Tape lengths'!AE12</f>
        <v>2765.3500000000004</v>
      </c>
      <c r="B278" t="s">
        <v>76</v>
      </c>
      <c r="C278">
        <f>'Tape lengths'!AD12</f>
        <v>1070.4</v>
      </c>
    </row>
    <row r="279" ht="12.75">
      <c r="A279" t="s">
        <v>77</v>
      </c>
    </row>
    <row r="280" spans="1:4" ht="12.75">
      <c r="A280" t="s">
        <v>74</v>
      </c>
      <c r="B280">
        <f>'Tape lengths'!AE12</f>
        <v>21.949999999999996</v>
      </c>
      <c r="C280" t="s">
        <v>76</v>
      </c>
      <c r="D280">
        <f>'Tape lengths'!AE12</f>
        <v>21.949999999999996</v>
      </c>
    </row>
    <row r="281" ht="12.75">
      <c r="A281" t="s">
        <v>78</v>
      </c>
    </row>
    <row r="282" spans="1:3" ht="12.75">
      <c r="A282">
        <f>'Tape lengths'!AI12</f>
        <v>3192.9</v>
      </c>
      <c r="B282" t="s">
        <v>76</v>
      </c>
      <c r="C282">
        <f>'Tape lengths'!AJ12-'Tape lengths'!AK12</f>
        <v>1083.75</v>
      </c>
    </row>
    <row r="283" spans="1:4" ht="12.75">
      <c r="A283" s="89"/>
      <c r="B283" s="89"/>
      <c r="C283" s="89"/>
      <c r="D283" s="89"/>
    </row>
    <row r="284" ht="12.75">
      <c r="A284" t="s">
        <v>88</v>
      </c>
    </row>
    <row r="285" ht="12.75">
      <c r="A285" t="s">
        <v>90</v>
      </c>
    </row>
    <row r="286" ht="12.75">
      <c r="A286" t="s">
        <v>75</v>
      </c>
    </row>
    <row r="287" spans="1:3" ht="12.75">
      <c r="A287">
        <f>'Tape lengths'!K11</f>
        <v>1323.025</v>
      </c>
      <c r="B287" t="s">
        <v>76</v>
      </c>
      <c r="C287">
        <f>'Tape lengths'!L11-'Tape lengths'!P11</f>
        <v>558.65</v>
      </c>
    </row>
    <row r="288" spans="1:3" ht="12.75">
      <c r="A288">
        <f>'Tape lengths'!K11</f>
        <v>1323.025</v>
      </c>
      <c r="B288" t="s">
        <v>76</v>
      </c>
      <c r="C288">
        <f>'Tape lengths'!N11</f>
        <v>577.325</v>
      </c>
    </row>
    <row r="289" ht="12.75">
      <c r="A289" t="s">
        <v>77</v>
      </c>
    </row>
    <row r="290" spans="1:4" ht="12.75">
      <c r="A290" t="s">
        <v>74</v>
      </c>
      <c r="B290">
        <f>'Tape lengths'!O11</f>
        <v>5.175</v>
      </c>
      <c r="C290" t="s">
        <v>76</v>
      </c>
      <c r="D290">
        <f>'Tape lengths'!O11</f>
        <v>5.175</v>
      </c>
    </row>
    <row r="291" ht="12.75">
      <c r="A291" t="s">
        <v>78</v>
      </c>
    </row>
    <row r="292" spans="1:3" ht="12.75">
      <c r="A292">
        <f>'Tape lengths'!V11</f>
        <v>2733.1</v>
      </c>
      <c r="B292" t="s">
        <v>76</v>
      </c>
      <c r="C292">
        <f>'Tape lengths'!W11-'Tape lengths'!X11</f>
        <v>592.55</v>
      </c>
    </row>
    <row r="293" ht="12.75">
      <c r="A293" t="s">
        <v>77</v>
      </c>
    </row>
    <row r="294" spans="1:4" ht="12.75">
      <c r="A294" t="s">
        <v>74</v>
      </c>
      <c r="B294">
        <f>'Tape lengths'!X11</f>
        <v>18.450000000000003</v>
      </c>
      <c r="C294" t="s">
        <v>76</v>
      </c>
      <c r="D294">
        <f>'Tape lengths'!X11</f>
        <v>18.450000000000003</v>
      </c>
    </row>
    <row r="295" ht="12.75">
      <c r="A295" t="s">
        <v>78</v>
      </c>
    </row>
    <row r="296" spans="1:3" ht="12.75">
      <c r="A296">
        <f>'Tape lengths'!V11+'Tape lengths'!X11</f>
        <v>2751.5499999999997</v>
      </c>
      <c r="B296" t="s">
        <v>76</v>
      </c>
      <c r="C296">
        <f>'Tape lengths'!W11</f>
        <v>611</v>
      </c>
    </row>
    <row r="297" spans="1:3" ht="12.75">
      <c r="A297">
        <f>A296</f>
        <v>2751.5499999999997</v>
      </c>
      <c r="B297" t="s">
        <v>76</v>
      </c>
      <c r="C297">
        <f>'Tape lengths'!Z11</f>
        <v>750</v>
      </c>
    </row>
    <row r="298" spans="1:3" ht="12.75">
      <c r="A298">
        <f>'Tape lengths'!AC11-'Tape lengths'!AE11</f>
        <v>2764.65</v>
      </c>
      <c r="B298" t="s">
        <v>76</v>
      </c>
      <c r="C298">
        <f>'Tape lengths'!AD11</f>
        <v>1070.4</v>
      </c>
    </row>
    <row r="299" ht="12.75">
      <c r="A299" t="s">
        <v>77</v>
      </c>
    </row>
    <row r="300" spans="1:4" ht="12.75">
      <c r="A300" t="s">
        <v>74</v>
      </c>
      <c r="B300">
        <f>'Tape lengths'!AE11</f>
        <v>22.65</v>
      </c>
      <c r="C300" t="s">
        <v>76</v>
      </c>
      <c r="D300">
        <f>'Tape lengths'!AE11</f>
        <v>22.65</v>
      </c>
    </row>
    <row r="301" ht="12.75">
      <c r="A301" t="s">
        <v>78</v>
      </c>
    </row>
    <row r="302" spans="1:3" ht="12.75">
      <c r="A302">
        <f>'Tape lengths'!AI11</f>
        <v>3192.9</v>
      </c>
      <c r="B302" t="s">
        <v>76</v>
      </c>
      <c r="C302">
        <f>'Tape lengths'!AJ11-'Tape lengths'!AK11</f>
        <v>1084.45</v>
      </c>
    </row>
    <row r="303" spans="1:4" ht="12.75">
      <c r="A303" s="89"/>
      <c r="B303" s="89"/>
      <c r="C303" s="89"/>
      <c r="D303" s="89"/>
    </row>
    <row r="304" ht="12.75">
      <c r="A304" t="s">
        <v>88</v>
      </c>
    </row>
    <row r="305" ht="12.75">
      <c r="A305" t="s">
        <v>91</v>
      </c>
    </row>
    <row r="306" ht="12.75">
      <c r="A306" t="s">
        <v>75</v>
      </c>
    </row>
    <row r="307" spans="1:3" ht="12.75">
      <c r="A307">
        <f>'Tape lengths'!K10</f>
        <v>1139.125</v>
      </c>
      <c r="B307" t="s">
        <v>76</v>
      </c>
      <c r="C307">
        <f>'Tape lengths'!L10-'Tape lengths'!P10</f>
        <v>558.65</v>
      </c>
    </row>
    <row r="308" spans="1:3" ht="12.75">
      <c r="A308">
        <f>'Tape lengths'!K10</f>
        <v>1139.125</v>
      </c>
      <c r="B308" t="s">
        <v>76</v>
      </c>
      <c r="C308">
        <f>'Tape lengths'!N10</f>
        <v>577.325</v>
      </c>
    </row>
    <row r="309" ht="12.75">
      <c r="A309" t="s">
        <v>77</v>
      </c>
    </row>
    <row r="310" spans="1:4" ht="12.75">
      <c r="A310" t="s">
        <v>74</v>
      </c>
      <c r="B310">
        <f>'Tape lengths'!O10</f>
        <v>5.175</v>
      </c>
      <c r="C310" t="s">
        <v>76</v>
      </c>
      <c r="D310">
        <f>'Tape lengths'!O10</f>
        <v>5.175</v>
      </c>
    </row>
    <row r="311" ht="12.75">
      <c r="A311" t="s">
        <v>78</v>
      </c>
    </row>
    <row r="312" spans="1:3" ht="12.75">
      <c r="A312">
        <f>'Tape lengths'!V10</f>
        <v>2733.1</v>
      </c>
      <c r="B312" t="s">
        <v>76</v>
      </c>
      <c r="C312">
        <f>'Tape lengths'!W10-'Tape lengths'!X10</f>
        <v>593.25</v>
      </c>
    </row>
    <row r="313" ht="12.75">
      <c r="A313" t="s">
        <v>77</v>
      </c>
    </row>
    <row r="314" spans="1:4" ht="12.75">
      <c r="A314" t="s">
        <v>74</v>
      </c>
      <c r="B314">
        <f>'Tape lengths'!X10</f>
        <v>17.75</v>
      </c>
      <c r="C314" t="s">
        <v>76</v>
      </c>
      <c r="D314">
        <f>'Tape lengths'!X10</f>
        <v>17.75</v>
      </c>
    </row>
    <row r="315" ht="12.75">
      <c r="A315" t="s">
        <v>78</v>
      </c>
    </row>
    <row r="316" spans="1:3" ht="12.75">
      <c r="A316">
        <f>'Tape lengths'!V10+'Tape lengths'!X10</f>
        <v>2750.85</v>
      </c>
      <c r="B316" t="s">
        <v>76</v>
      </c>
      <c r="C316">
        <f>'Tape lengths'!W10</f>
        <v>611</v>
      </c>
    </row>
    <row r="317" spans="1:3" ht="12.75">
      <c r="A317">
        <f>A316</f>
        <v>2750.85</v>
      </c>
      <c r="B317" t="s">
        <v>76</v>
      </c>
      <c r="C317">
        <f>'Tape lengths'!Z10</f>
        <v>750</v>
      </c>
    </row>
    <row r="318" spans="1:3" ht="12.75">
      <c r="A318">
        <f>'Tape lengths'!AC10-'Tape lengths'!AE10</f>
        <v>2763.9500000000003</v>
      </c>
      <c r="B318" t="s">
        <v>76</v>
      </c>
      <c r="C318">
        <f>'Tape lengths'!AD10</f>
        <v>1070.4</v>
      </c>
    </row>
    <row r="319" ht="12.75">
      <c r="A319" t="s">
        <v>77</v>
      </c>
    </row>
    <row r="320" spans="1:4" ht="12.75">
      <c r="A320" t="s">
        <v>74</v>
      </c>
      <c r="B320">
        <f>'Tape lengths'!AE10</f>
        <v>23.349999999999998</v>
      </c>
      <c r="C320" t="s">
        <v>76</v>
      </c>
      <c r="D320">
        <f>'Tape lengths'!AE10</f>
        <v>23.349999999999998</v>
      </c>
    </row>
    <row r="321" ht="12.75">
      <c r="A321" t="s">
        <v>78</v>
      </c>
    </row>
    <row r="322" spans="1:3" ht="12.75">
      <c r="A322">
        <f>'Tape lengths'!AI10</f>
        <v>3192.9</v>
      </c>
      <c r="B322" t="s">
        <v>76</v>
      </c>
      <c r="C322">
        <f>'Tape lengths'!AJ10-'Tape lengths'!AK10</f>
        <v>1085.15</v>
      </c>
    </row>
    <row r="323" spans="1:4" ht="12.75">
      <c r="A323" s="89"/>
      <c r="B323" s="89"/>
      <c r="C323" s="89"/>
      <c r="D323" s="89"/>
    </row>
    <row r="324" ht="12.75">
      <c r="A324" t="s">
        <v>88</v>
      </c>
    </row>
    <row r="325" ht="12.75">
      <c r="A325" t="s">
        <v>92</v>
      </c>
    </row>
    <row r="326" ht="12.75">
      <c r="A326" t="s">
        <v>75</v>
      </c>
    </row>
    <row r="327" spans="1:3" ht="12.75">
      <c r="A327">
        <f>'Tape lengths'!K9</f>
        <v>1126.875</v>
      </c>
      <c r="B327" t="s">
        <v>76</v>
      </c>
      <c r="C327">
        <f>'Tape lengths'!L9-'Tape lengths'!P9</f>
        <v>558.65</v>
      </c>
    </row>
    <row r="328" spans="1:3" ht="12.75">
      <c r="A328">
        <f>'Tape lengths'!K9</f>
        <v>1126.875</v>
      </c>
      <c r="B328" t="s">
        <v>76</v>
      </c>
      <c r="C328">
        <f>'Tape lengths'!N9</f>
        <v>577.325</v>
      </c>
    </row>
    <row r="329" ht="12.75">
      <c r="A329" t="s">
        <v>77</v>
      </c>
    </row>
    <row r="330" spans="1:4" ht="12.75">
      <c r="A330" t="s">
        <v>74</v>
      </c>
      <c r="B330">
        <f>'Tape lengths'!O9</f>
        <v>5.175</v>
      </c>
      <c r="C330" t="s">
        <v>76</v>
      </c>
      <c r="D330">
        <f>'Tape lengths'!O9</f>
        <v>5.175</v>
      </c>
    </row>
    <row r="331" ht="12.75">
      <c r="A331" t="s">
        <v>78</v>
      </c>
    </row>
    <row r="332" spans="1:3" ht="12.75">
      <c r="A332">
        <f>'Tape lengths'!V9</f>
        <v>2733.1</v>
      </c>
      <c r="B332" t="s">
        <v>76</v>
      </c>
      <c r="C332">
        <f>'Tape lengths'!W9-'Tape lengths'!X9</f>
        <v>593.95</v>
      </c>
    </row>
    <row r="333" ht="12.75">
      <c r="A333" t="s">
        <v>77</v>
      </c>
    </row>
    <row r="334" spans="1:4" ht="12.75">
      <c r="A334" t="s">
        <v>74</v>
      </c>
      <c r="B334">
        <f>'Tape lengths'!X9</f>
        <v>17.05</v>
      </c>
      <c r="C334" t="s">
        <v>76</v>
      </c>
      <c r="D334">
        <f>'Tape lengths'!X9</f>
        <v>17.05</v>
      </c>
    </row>
    <row r="335" ht="12.75">
      <c r="A335" t="s">
        <v>78</v>
      </c>
    </row>
    <row r="336" spans="1:3" ht="12.75">
      <c r="A336">
        <f>'Tape lengths'!V9+'Tape lengths'!X9</f>
        <v>2750.15</v>
      </c>
      <c r="B336" t="s">
        <v>76</v>
      </c>
      <c r="C336">
        <f>'Tape lengths'!W9</f>
        <v>611</v>
      </c>
    </row>
    <row r="337" spans="1:3" ht="12.75">
      <c r="A337">
        <f>A336</f>
        <v>2750.15</v>
      </c>
      <c r="B337" t="s">
        <v>76</v>
      </c>
      <c r="C337">
        <f>'Tape lengths'!Z9</f>
        <v>750</v>
      </c>
    </row>
    <row r="338" spans="1:3" ht="12.75">
      <c r="A338">
        <f>'Tape lengths'!AC9-'Tape lengths'!AE9</f>
        <v>2763.25</v>
      </c>
      <c r="B338" t="s">
        <v>76</v>
      </c>
      <c r="C338">
        <f>'Tape lengths'!AD9</f>
        <v>1070.4</v>
      </c>
    </row>
    <row r="339" ht="12.75">
      <c r="A339" t="s">
        <v>77</v>
      </c>
    </row>
    <row r="340" spans="1:4" ht="12.75">
      <c r="A340" t="s">
        <v>74</v>
      </c>
      <c r="B340">
        <f>'Tape lengths'!AE9</f>
        <v>24.049999999999997</v>
      </c>
      <c r="C340" t="s">
        <v>76</v>
      </c>
      <c r="D340">
        <f>'Tape lengths'!AE9</f>
        <v>24.049999999999997</v>
      </c>
    </row>
    <row r="341" ht="12.75">
      <c r="A341" t="s">
        <v>78</v>
      </c>
    </row>
    <row r="342" spans="1:3" ht="12.75">
      <c r="A342">
        <f>'Tape lengths'!AI9</f>
        <v>3192.9</v>
      </c>
      <c r="B342" t="s">
        <v>76</v>
      </c>
      <c r="C342">
        <f>'Tape lengths'!AJ9-'Tape lengths'!AK9</f>
        <v>1085.8500000000001</v>
      </c>
    </row>
    <row r="343" spans="1:4" ht="12.75">
      <c r="A343" s="89"/>
      <c r="B343" s="89"/>
      <c r="C343" s="89"/>
      <c r="D343" s="89"/>
    </row>
    <row r="344" ht="12.75">
      <c r="A344" t="s">
        <v>88</v>
      </c>
    </row>
    <row r="345" ht="12.75">
      <c r="A345" t="s">
        <v>90</v>
      </c>
    </row>
    <row r="346" ht="12.75">
      <c r="A346" t="s">
        <v>75</v>
      </c>
    </row>
    <row r="347" spans="1:3" ht="12.75">
      <c r="A347">
        <f>'Tape lengths'!K8</f>
        <v>1114.625</v>
      </c>
      <c r="B347" t="s">
        <v>76</v>
      </c>
      <c r="C347">
        <f>'Tape lengths'!L8-'Tape lengths'!P8</f>
        <v>558.65</v>
      </c>
    </row>
    <row r="348" spans="1:3" ht="12.75">
      <c r="A348">
        <f>'Tape lengths'!K8</f>
        <v>1114.625</v>
      </c>
      <c r="B348" t="s">
        <v>76</v>
      </c>
      <c r="C348">
        <f>'Tape lengths'!N8</f>
        <v>577.325</v>
      </c>
    </row>
    <row r="349" ht="12.75">
      <c r="A349" t="s">
        <v>77</v>
      </c>
    </row>
    <row r="350" spans="1:4" ht="12.75">
      <c r="A350" t="s">
        <v>74</v>
      </c>
      <c r="B350">
        <f>'Tape lengths'!O8</f>
        <v>5.175</v>
      </c>
      <c r="C350" t="s">
        <v>76</v>
      </c>
      <c r="D350">
        <f>'Tape lengths'!O8</f>
        <v>5.175</v>
      </c>
    </row>
    <row r="351" ht="12.75">
      <c r="A351" t="s">
        <v>78</v>
      </c>
    </row>
    <row r="352" spans="1:3" ht="12.75">
      <c r="A352">
        <f>'Tape lengths'!V8</f>
        <v>2733.1</v>
      </c>
      <c r="B352" t="s">
        <v>76</v>
      </c>
      <c r="C352">
        <f>'Tape lengths'!W8-'Tape lengths'!X8</f>
        <v>594.65</v>
      </c>
    </row>
    <row r="353" ht="12.75">
      <c r="A353" t="s">
        <v>77</v>
      </c>
    </row>
    <row r="354" spans="1:4" ht="12.75">
      <c r="A354" t="s">
        <v>74</v>
      </c>
      <c r="B354">
        <f>'Tape lengths'!X8</f>
        <v>16.35</v>
      </c>
      <c r="C354" t="s">
        <v>76</v>
      </c>
      <c r="D354">
        <f>'Tape lengths'!X8</f>
        <v>16.35</v>
      </c>
    </row>
    <row r="355" ht="12.75">
      <c r="A355" t="s">
        <v>78</v>
      </c>
    </row>
    <row r="356" spans="1:3" ht="12.75">
      <c r="A356">
        <f>'Tape lengths'!V8+'Tape lengths'!X8</f>
        <v>2749.45</v>
      </c>
      <c r="B356" t="s">
        <v>76</v>
      </c>
      <c r="C356">
        <f>'Tape lengths'!W8</f>
        <v>611</v>
      </c>
    </row>
    <row r="357" spans="1:3" ht="12.75">
      <c r="A357">
        <f>A356</f>
        <v>2749.45</v>
      </c>
      <c r="B357" t="s">
        <v>76</v>
      </c>
      <c r="C357">
        <f>'Tape lengths'!Z8</f>
        <v>750</v>
      </c>
    </row>
    <row r="358" spans="1:3" ht="12.75">
      <c r="A358">
        <f>'Tape lengths'!AC8-'Tape lengths'!AE8</f>
        <v>2762.55</v>
      </c>
      <c r="B358" t="s">
        <v>76</v>
      </c>
      <c r="C358">
        <f>'Tape lengths'!AD8</f>
        <v>1070.4</v>
      </c>
    </row>
    <row r="359" ht="12.75">
      <c r="A359" t="s">
        <v>77</v>
      </c>
    </row>
    <row r="360" spans="1:4" ht="12.75">
      <c r="A360" t="s">
        <v>74</v>
      </c>
      <c r="B360">
        <f>'Tape lengths'!AE8</f>
        <v>24.75</v>
      </c>
      <c r="C360" t="s">
        <v>76</v>
      </c>
      <c r="D360">
        <f>'Tape lengths'!AE8</f>
        <v>24.75</v>
      </c>
    </row>
    <row r="361" ht="12.75">
      <c r="A361" t="s">
        <v>78</v>
      </c>
    </row>
    <row r="362" spans="1:3" ht="12.75">
      <c r="A362">
        <f>'Tape lengths'!AI8</f>
        <v>3192.9</v>
      </c>
      <c r="B362" t="s">
        <v>76</v>
      </c>
      <c r="C362">
        <f>'Tape lengths'!AJ8-'Tape lengths'!AK8</f>
        <v>1086.5500000000002</v>
      </c>
    </row>
    <row r="363" spans="1:4" ht="12.75">
      <c r="A363" s="89"/>
      <c r="B363" s="89"/>
      <c r="C363" s="89"/>
      <c r="D363" s="89"/>
    </row>
    <row r="364" ht="12.75">
      <c r="A364" t="s">
        <v>88</v>
      </c>
    </row>
    <row r="365" ht="12.75">
      <c r="A365" t="s">
        <v>91</v>
      </c>
    </row>
    <row r="366" ht="12.75">
      <c r="A366" t="s">
        <v>75</v>
      </c>
    </row>
    <row r="367" spans="1:3" ht="12.75">
      <c r="A367">
        <f>'Tape lengths'!K7</f>
        <v>981.625</v>
      </c>
      <c r="B367" t="s">
        <v>76</v>
      </c>
      <c r="C367">
        <f>'Tape lengths'!L7-'Tape lengths'!P7</f>
        <v>558.65</v>
      </c>
    </row>
    <row r="368" spans="1:3" ht="12.75">
      <c r="A368">
        <f>'Tape lengths'!K7</f>
        <v>981.625</v>
      </c>
      <c r="B368" t="s">
        <v>76</v>
      </c>
      <c r="C368">
        <f>'Tape lengths'!N7</f>
        <v>577.325</v>
      </c>
    </row>
    <row r="369" ht="12.75">
      <c r="A369" t="s">
        <v>77</v>
      </c>
    </row>
    <row r="370" spans="1:4" ht="12.75">
      <c r="A370" t="s">
        <v>74</v>
      </c>
      <c r="B370">
        <f>'Tape lengths'!O7</f>
        <v>5.175</v>
      </c>
      <c r="C370" t="s">
        <v>76</v>
      </c>
      <c r="D370">
        <f>'Tape lengths'!O7</f>
        <v>5.175</v>
      </c>
    </row>
    <row r="371" ht="12.75">
      <c r="A371" t="s">
        <v>78</v>
      </c>
    </row>
    <row r="372" spans="1:3" ht="12.75">
      <c r="A372">
        <f>'Tape lengths'!V7</f>
        <v>2733.1</v>
      </c>
      <c r="B372" t="s">
        <v>76</v>
      </c>
      <c r="C372">
        <f>'Tape lengths'!W7-'Tape lengths'!X7</f>
        <v>595.35</v>
      </c>
    </row>
    <row r="373" ht="12.75">
      <c r="A373" t="s">
        <v>77</v>
      </c>
    </row>
    <row r="374" spans="1:4" ht="12.75">
      <c r="A374" t="s">
        <v>74</v>
      </c>
      <c r="B374">
        <f>'Tape lengths'!X7</f>
        <v>15.65</v>
      </c>
      <c r="C374" t="s">
        <v>76</v>
      </c>
      <c r="D374">
        <f>'Tape lengths'!X7</f>
        <v>15.65</v>
      </c>
    </row>
    <row r="375" ht="12.75">
      <c r="A375" t="s">
        <v>78</v>
      </c>
    </row>
    <row r="376" spans="1:3" ht="12.75">
      <c r="A376">
        <f>'Tape lengths'!V7+'Tape lengths'!X7</f>
        <v>2748.75</v>
      </c>
      <c r="B376" t="s">
        <v>76</v>
      </c>
      <c r="C376">
        <f>'Tape lengths'!W7</f>
        <v>611</v>
      </c>
    </row>
    <row r="377" spans="1:3" ht="12.75">
      <c r="A377">
        <f>A376</f>
        <v>2748.75</v>
      </c>
      <c r="B377" t="s">
        <v>76</v>
      </c>
      <c r="C377">
        <f>'Tape lengths'!Z7</f>
        <v>750</v>
      </c>
    </row>
    <row r="378" spans="1:3" ht="12" customHeight="1">
      <c r="A378">
        <f>'Tape lengths'!AC7-'Tape lengths'!AE7</f>
        <v>2761.8500000000004</v>
      </c>
      <c r="B378" t="s">
        <v>76</v>
      </c>
      <c r="C378">
        <f>'Tape lengths'!AD7</f>
        <v>1070.4</v>
      </c>
    </row>
    <row r="379" ht="12.75">
      <c r="A379" t="s">
        <v>77</v>
      </c>
    </row>
    <row r="380" spans="1:4" ht="12.75">
      <c r="A380" t="s">
        <v>74</v>
      </c>
      <c r="B380">
        <f>'Tape lengths'!AE7</f>
        <v>25.449999999999996</v>
      </c>
      <c r="C380" t="s">
        <v>76</v>
      </c>
      <c r="D380">
        <f>'Tape lengths'!AE7</f>
        <v>25.449999999999996</v>
      </c>
    </row>
    <row r="381" ht="12.75">
      <c r="A381" t="s">
        <v>78</v>
      </c>
    </row>
    <row r="382" spans="1:3" ht="12.75">
      <c r="A382">
        <f>'Tape lengths'!AI7</f>
        <v>3192.9</v>
      </c>
      <c r="B382" t="s">
        <v>76</v>
      </c>
      <c r="C382">
        <f>'Tape lengths'!AJ7-'Tape lengths'!AK7</f>
        <v>1087.25</v>
      </c>
    </row>
    <row r="383" spans="1:4" ht="12.75">
      <c r="A383" s="89"/>
      <c r="B383" s="89"/>
      <c r="C383" s="89"/>
      <c r="D383" s="89"/>
    </row>
    <row r="384" ht="12.75">
      <c r="A384" t="s">
        <v>88</v>
      </c>
    </row>
    <row r="385" ht="12.75">
      <c r="A385" t="s">
        <v>92</v>
      </c>
    </row>
    <row r="386" ht="12.75">
      <c r="A386" t="s">
        <v>75</v>
      </c>
    </row>
    <row r="387" spans="1:3" ht="12.75">
      <c r="A387">
        <f>'Tape lengths'!K6</f>
        <v>969.375</v>
      </c>
      <c r="B387" t="s">
        <v>76</v>
      </c>
      <c r="C387">
        <f>'Tape lengths'!L6-'Tape lengths'!P6</f>
        <v>558.65</v>
      </c>
    </row>
    <row r="388" spans="1:3" ht="12.75">
      <c r="A388">
        <f>'Tape lengths'!K6</f>
        <v>969.375</v>
      </c>
      <c r="B388" t="s">
        <v>76</v>
      </c>
      <c r="C388">
        <f>'Tape lengths'!N6</f>
        <v>577.325</v>
      </c>
    </row>
    <row r="389" ht="12.75">
      <c r="A389" t="s">
        <v>77</v>
      </c>
    </row>
    <row r="390" spans="1:4" ht="12.75">
      <c r="A390" t="s">
        <v>74</v>
      </c>
      <c r="B390">
        <f>'Tape lengths'!O6</f>
        <v>5.175</v>
      </c>
      <c r="C390" t="s">
        <v>76</v>
      </c>
      <c r="D390">
        <f>'Tape lengths'!O6</f>
        <v>5.175</v>
      </c>
    </row>
    <row r="391" ht="12.75">
      <c r="A391" t="s">
        <v>78</v>
      </c>
    </row>
    <row r="392" spans="1:3" ht="12.75">
      <c r="A392">
        <f>'Tape lengths'!V6</f>
        <v>2733.1</v>
      </c>
      <c r="B392" t="s">
        <v>76</v>
      </c>
      <c r="C392">
        <f>'Tape lengths'!W6-'Tape lengths'!X6</f>
        <v>596.05</v>
      </c>
    </row>
    <row r="393" ht="12.75">
      <c r="A393" t="s">
        <v>77</v>
      </c>
    </row>
    <row r="394" spans="1:4" ht="12.75">
      <c r="A394" t="s">
        <v>74</v>
      </c>
      <c r="B394">
        <f>'Tape lengths'!X6</f>
        <v>14.95</v>
      </c>
      <c r="C394" t="s">
        <v>76</v>
      </c>
      <c r="D394">
        <f>'Tape lengths'!X6</f>
        <v>14.95</v>
      </c>
    </row>
    <row r="395" ht="12.75">
      <c r="A395" t="s">
        <v>78</v>
      </c>
    </row>
    <row r="396" spans="1:3" ht="12.75">
      <c r="A396">
        <f>'Tape lengths'!V6+'Tape lengths'!X6</f>
        <v>2748.0499999999997</v>
      </c>
      <c r="B396" t="s">
        <v>76</v>
      </c>
      <c r="C396">
        <f>'Tape lengths'!W6</f>
        <v>611</v>
      </c>
    </row>
    <row r="397" spans="1:3" ht="12.75">
      <c r="A397">
        <f>A396</f>
        <v>2748.0499999999997</v>
      </c>
      <c r="B397" t="s">
        <v>76</v>
      </c>
      <c r="C397">
        <f>'Tape lengths'!Z6</f>
        <v>750</v>
      </c>
    </row>
    <row r="398" spans="1:3" ht="12.75">
      <c r="A398">
        <f>'Tape lengths'!AC6-'Tape lengths'!AE6</f>
        <v>2761.15</v>
      </c>
      <c r="B398" t="s">
        <v>76</v>
      </c>
      <c r="C398">
        <f>'Tape lengths'!AD6</f>
        <v>1070.4</v>
      </c>
    </row>
    <row r="399" ht="12.75">
      <c r="A399" t="s">
        <v>77</v>
      </c>
    </row>
    <row r="400" spans="1:4" ht="12.75">
      <c r="A400" t="s">
        <v>74</v>
      </c>
      <c r="B400">
        <f>'Tape lengths'!AE6</f>
        <v>26.15</v>
      </c>
      <c r="C400" t="s">
        <v>76</v>
      </c>
      <c r="D400">
        <f>'Tape lengths'!AE6</f>
        <v>26.15</v>
      </c>
    </row>
    <row r="401" ht="12.75">
      <c r="A401" t="s">
        <v>78</v>
      </c>
    </row>
    <row r="402" spans="1:3" ht="12.75">
      <c r="A402">
        <f>'Tape lengths'!AI6</f>
        <v>3192.9</v>
      </c>
      <c r="B402" t="s">
        <v>76</v>
      </c>
      <c r="C402">
        <f>'Tape lengths'!AJ6-'Tape lengths'!AK6</f>
        <v>1087.95</v>
      </c>
    </row>
    <row r="403" spans="1:4" ht="12.75">
      <c r="A403" s="89"/>
      <c r="B403" s="89"/>
      <c r="C403" s="89"/>
      <c r="D403" s="89"/>
    </row>
    <row r="404" ht="12.75">
      <c r="A404" t="s">
        <v>88</v>
      </c>
    </row>
    <row r="405" ht="12.75">
      <c r="A405" t="s">
        <v>90</v>
      </c>
    </row>
    <row r="406" ht="12.75">
      <c r="A406" t="s">
        <v>75</v>
      </c>
    </row>
    <row r="407" spans="1:3" ht="12.75">
      <c r="A407">
        <f>'Tape lengths'!K5</f>
        <v>957.125</v>
      </c>
      <c r="B407" t="s">
        <v>76</v>
      </c>
      <c r="C407">
        <f>'Tape lengths'!L5-'Tape lengths'!P5</f>
        <v>558.65</v>
      </c>
    </row>
    <row r="408" spans="1:3" ht="12.75">
      <c r="A408">
        <f>'Tape lengths'!K5</f>
        <v>957.125</v>
      </c>
      <c r="B408" t="s">
        <v>76</v>
      </c>
      <c r="C408">
        <f>'Tape lengths'!N5</f>
        <v>577.325</v>
      </c>
    </row>
    <row r="409" ht="12.75">
      <c r="A409" t="s">
        <v>77</v>
      </c>
    </row>
    <row r="410" spans="1:4" ht="12.75">
      <c r="A410" t="s">
        <v>74</v>
      </c>
      <c r="B410">
        <f>'Tape lengths'!O5</f>
        <v>5.175</v>
      </c>
      <c r="C410" t="s">
        <v>76</v>
      </c>
      <c r="D410">
        <f>'Tape lengths'!O5</f>
        <v>5.175</v>
      </c>
    </row>
    <row r="411" ht="12.75">
      <c r="A411" t="s">
        <v>78</v>
      </c>
    </row>
    <row r="412" spans="1:3" ht="12.75">
      <c r="A412">
        <f>'Tape lengths'!V5</f>
        <v>2733.1</v>
      </c>
      <c r="B412" t="s">
        <v>76</v>
      </c>
      <c r="C412">
        <f>'Tape lengths'!W5-'Tape lengths'!X5</f>
        <v>596.75</v>
      </c>
    </row>
    <row r="413" ht="12.75">
      <c r="A413" t="s">
        <v>77</v>
      </c>
    </row>
    <row r="414" spans="1:4" ht="12.75">
      <c r="A414" t="s">
        <v>74</v>
      </c>
      <c r="B414">
        <f>'Tape lengths'!X5</f>
        <v>14.25</v>
      </c>
      <c r="C414" t="s">
        <v>76</v>
      </c>
      <c r="D414">
        <f>'Tape lengths'!X5</f>
        <v>14.25</v>
      </c>
    </row>
    <row r="415" ht="12.75">
      <c r="A415" t="s">
        <v>78</v>
      </c>
    </row>
    <row r="416" spans="1:3" ht="12.75">
      <c r="A416">
        <f>'Tape lengths'!V5+'Tape lengths'!X5</f>
        <v>2747.35</v>
      </c>
      <c r="B416" t="s">
        <v>76</v>
      </c>
      <c r="C416">
        <f>'Tape lengths'!W5</f>
        <v>611</v>
      </c>
    </row>
    <row r="417" spans="1:3" ht="12.75">
      <c r="A417">
        <f>A416</f>
        <v>2747.35</v>
      </c>
      <c r="B417" t="s">
        <v>76</v>
      </c>
      <c r="C417">
        <f>'Tape lengths'!Z5</f>
        <v>750</v>
      </c>
    </row>
    <row r="418" spans="1:3" ht="12.75">
      <c r="A418">
        <f>'Tape lengths'!AC5-'Tape lengths'!AE5</f>
        <v>2760.4500000000003</v>
      </c>
      <c r="B418" t="s">
        <v>76</v>
      </c>
      <c r="C418">
        <f>'Tape lengths'!AD5</f>
        <v>1070.4</v>
      </c>
    </row>
    <row r="419" ht="12.75">
      <c r="A419" t="s">
        <v>77</v>
      </c>
    </row>
    <row r="420" spans="1:4" ht="12.75">
      <c r="A420" t="s">
        <v>74</v>
      </c>
      <c r="B420">
        <f>'Tape lengths'!AE5</f>
        <v>26.849999999999998</v>
      </c>
      <c r="C420" t="s">
        <v>76</v>
      </c>
      <c r="D420">
        <f>'Tape lengths'!AE5</f>
        <v>26.849999999999998</v>
      </c>
    </row>
    <row r="421" ht="12.75">
      <c r="A421" t="s">
        <v>78</v>
      </c>
    </row>
    <row r="422" spans="1:3" ht="12.75">
      <c r="A422">
        <f>'Tape lengths'!AI5</f>
        <v>3192.9</v>
      </c>
      <c r="B422" t="s">
        <v>76</v>
      </c>
      <c r="C422">
        <f>'Tape lengths'!AJ5-'Tape lengths'!AK5</f>
        <v>1088.65</v>
      </c>
    </row>
    <row r="423" spans="1:4" ht="12.75">
      <c r="A423" s="89"/>
      <c r="B423" s="89"/>
      <c r="C423" s="89"/>
      <c r="D423" s="89"/>
    </row>
    <row r="424" ht="12.75">
      <c r="A424" t="s">
        <v>88</v>
      </c>
    </row>
    <row r="425" ht="12.75">
      <c r="A425" t="s">
        <v>91</v>
      </c>
    </row>
    <row r="426" ht="12.75">
      <c r="A426" t="s">
        <v>75</v>
      </c>
    </row>
    <row r="427" spans="1:3" ht="12.75">
      <c r="A427">
        <f>'Tape lengths'!K4</f>
        <v>889.175</v>
      </c>
      <c r="B427" t="s">
        <v>76</v>
      </c>
      <c r="C427">
        <f>'Tape lengths'!L4-'Tape lengths'!P4</f>
        <v>558.65</v>
      </c>
    </row>
    <row r="428" spans="1:3" ht="12.75">
      <c r="A428">
        <f>'Tape lengths'!K4</f>
        <v>889.175</v>
      </c>
      <c r="B428" t="s">
        <v>76</v>
      </c>
      <c r="C428">
        <f>'Tape lengths'!N4</f>
        <v>577.325</v>
      </c>
    </row>
    <row r="429" ht="12.75">
      <c r="A429" t="s">
        <v>77</v>
      </c>
    </row>
    <row r="430" spans="1:4" ht="12.75">
      <c r="A430" t="s">
        <v>74</v>
      </c>
      <c r="B430">
        <f>'Tape lengths'!O4</f>
        <v>5.175</v>
      </c>
      <c r="C430" t="s">
        <v>76</v>
      </c>
      <c r="D430">
        <f>'Tape lengths'!O4</f>
        <v>5.175</v>
      </c>
    </row>
    <row r="431" ht="12.75">
      <c r="A431" t="s">
        <v>78</v>
      </c>
    </row>
    <row r="432" spans="1:3" ht="12.75">
      <c r="A432">
        <f>'Tape lengths'!V4</f>
        <v>2733.1</v>
      </c>
      <c r="B432" t="s">
        <v>76</v>
      </c>
      <c r="C432">
        <f>'Tape lengths'!W4-'Tape lengths'!X4</f>
        <v>597.45</v>
      </c>
    </row>
    <row r="433" ht="12.75">
      <c r="A433" t="s">
        <v>77</v>
      </c>
    </row>
    <row r="434" spans="1:4" ht="12.75">
      <c r="A434" t="s">
        <v>74</v>
      </c>
      <c r="B434">
        <f>'Tape lengths'!X4</f>
        <v>13.549999999999999</v>
      </c>
      <c r="C434" t="s">
        <v>76</v>
      </c>
      <c r="D434">
        <f>'Tape lengths'!X4</f>
        <v>13.549999999999999</v>
      </c>
    </row>
    <row r="435" ht="12.75">
      <c r="A435" t="s">
        <v>78</v>
      </c>
    </row>
    <row r="436" spans="1:3" ht="12.75">
      <c r="A436">
        <f>'Tape lengths'!V4+'Tape lengths'!X4</f>
        <v>2746.65</v>
      </c>
      <c r="B436" t="s">
        <v>76</v>
      </c>
      <c r="C436">
        <f>'Tape lengths'!W4</f>
        <v>611</v>
      </c>
    </row>
    <row r="437" spans="1:3" ht="12.75">
      <c r="A437">
        <f>A436</f>
        <v>2746.65</v>
      </c>
      <c r="B437" t="s">
        <v>76</v>
      </c>
      <c r="C437">
        <f>'Tape lengths'!Z4</f>
        <v>750</v>
      </c>
    </row>
    <row r="438" spans="1:3" ht="12.75">
      <c r="A438">
        <f>'Tape lengths'!AC4-'Tape lengths'!AE4</f>
        <v>2759.75</v>
      </c>
      <c r="B438" t="s">
        <v>76</v>
      </c>
      <c r="C438">
        <f>'Tape lengths'!AD4</f>
        <v>1070.4</v>
      </c>
    </row>
    <row r="439" ht="12.75">
      <c r="A439" t="s">
        <v>77</v>
      </c>
    </row>
    <row r="440" spans="1:4" ht="12.75">
      <c r="A440" t="s">
        <v>74</v>
      </c>
      <c r="B440">
        <f>'Tape lengths'!AE4</f>
        <v>27.549999999999997</v>
      </c>
      <c r="C440" t="s">
        <v>76</v>
      </c>
      <c r="D440">
        <f>'Tape lengths'!AE4</f>
        <v>27.549999999999997</v>
      </c>
    </row>
    <row r="441" ht="12.75">
      <c r="A441" t="s">
        <v>78</v>
      </c>
    </row>
    <row r="442" spans="1:3" ht="12.75">
      <c r="A442">
        <f>'Tape lengths'!AI4</f>
        <v>3192.9</v>
      </c>
      <c r="B442" t="s">
        <v>76</v>
      </c>
      <c r="C442">
        <f>'Tape lengths'!AJ4-'Tape lengths'!AK4</f>
        <v>1089.3500000000001</v>
      </c>
    </row>
    <row r="443" spans="1:4" ht="12.75">
      <c r="A443" s="89"/>
      <c r="B443" s="89"/>
      <c r="C443" s="89"/>
      <c r="D443" s="89"/>
    </row>
    <row r="444" ht="12.75">
      <c r="A444" t="s">
        <v>88</v>
      </c>
    </row>
    <row r="445" ht="12.75">
      <c r="A445" t="s">
        <v>92</v>
      </c>
    </row>
    <row r="446" ht="12.75">
      <c r="A446" t="s">
        <v>75</v>
      </c>
    </row>
    <row r="447" spans="1:3" ht="12.75">
      <c r="A447">
        <f>'Tape lengths'!K3</f>
        <v>876.925</v>
      </c>
      <c r="B447" t="s">
        <v>76</v>
      </c>
      <c r="C447">
        <f>'Tape lengths'!L3-'Tape lengths'!P3</f>
        <v>558.65</v>
      </c>
    </row>
    <row r="448" spans="1:3" ht="12.75">
      <c r="A448">
        <f>'Tape lengths'!K3</f>
        <v>876.925</v>
      </c>
      <c r="B448" t="s">
        <v>76</v>
      </c>
      <c r="C448">
        <f>'Tape lengths'!N3</f>
        <v>577.325</v>
      </c>
    </row>
    <row r="449" ht="12.75">
      <c r="A449" t="s">
        <v>77</v>
      </c>
    </row>
    <row r="450" spans="1:4" ht="12.75">
      <c r="A450" t="s">
        <v>74</v>
      </c>
      <c r="B450">
        <f>'Tape lengths'!O3</f>
        <v>5.175</v>
      </c>
      <c r="C450" t="s">
        <v>76</v>
      </c>
      <c r="D450">
        <f>'Tape lengths'!O3</f>
        <v>5.175</v>
      </c>
    </row>
    <row r="451" ht="12.75">
      <c r="A451" t="s">
        <v>78</v>
      </c>
    </row>
    <row r="452" spans="1:3" ht="12.75">
      <c r="A452">
        <f>'Tape lengths'!V3</f>
        <v>2733.1</v>
      </c>
      <c r="B452" t="s">
        <v>76</v>
      </c>
      <c r="C452">
        <f>'Tape lengths'!W3-'Tape lengths'!X3</f>
        <v>598.15</v>
      </c>
    </row>
    <row r="453" ht="12.75">
      <c r="A453" t="s">
        <v>77</v>
      </c>
    </row>
    <row r="454" spans="1:4" ht="12.75">
      <c r="A454" t="s">
        <v>74</v>
      </c>
      <c r="B454">
        <f>'Tape lengths'!X3</f>
        <v>12.85</v>
      </c>
      <c r="C454" t="s">
        <v>76</v>
      </c>
      <c r="D454">
        <f>'Tape lengths'!X3</f>
        <v>12.85</v>
      </c>
    </row>
    <row r="455" ht="12.75">
      <c r="A455" t="s">
        <v>78</v>
      </c>
    </row>
    <row r="456" spans="1:3" ht="12.75">
      <c r="A456">
        <f>'Tape lengths'!V3+'Tape lengths'!X3</f>
        <v>2745.95</v>
      </c>
      <c r="B456" t="s">
        <v>76</v>
      </c>
      <c r="C456">
        <f>'Tape lengths'!W3</f>
        <v>611</v>
      </c>
    </row>
    <row r="457" spans="1:3" ht="12.75">
      <c r="A457">
        <f>A456</f>
        <v>2745.95</v>
      </c>
      <c r="B457" t="s">
        <v>76</v>
      </c>
      <c r="C457">
        <f>'Tape lengths'!Z3</f>
        <v>750</v>
      </c>
    </row>
    <row r="458" spans="1:3" ht="12.75">
      <c r="A458">
        <f>'Tape lengths'!AC3-'Tape lengths'!AE3</f>
        <v>2759.05</v>
      </c>
      <c r="B458" t="s">
        <v>76</v>
      </c>
      <c r="C458">
        <f>'Tape lengths'!AD3</f>
        <v>1070.4</v>
      </c>
    </row>
    <row r="459" ht="12.75">
      <c r="A459" t="s">
        <v>77</v>
      </c>
    </row>
    <row r="460" spans="1:4" ht="12.75">
      <c r="A460" t="s">
        <v>74</v>
      </c>
      <c r="B460">
        <f>'Tape lengths'!AE3</f>
        <v>28.249999999999996</v>
      </c>
      <c r="C460" t="s">
        <v>76</v>
      </c>
      <c r="D460">
        <f>'Tape lengths'!AE3</f>
        <v>28.249999999999996</v>
      </c>
    </row>
    <row r="461" ht="12.75">
      <c r="A461" t="s">
        <v>78</v>
      </c>
    </row>
    <row r="462" spans="1:3" ht="12.75">
      <c r="A462">
        <f>'Tape lengths'!AI3</f>
        <v>3192.9</v>
      </c>
      <c r="B462" t="s">
        <v>76</v>
      </c>
      <c r="C462">
        <f>'Tape lengths'!AJ3-'Tape lengths'!AK3</f>
        <v>1090.0500000000002</v>
      </c>
    </row>
    <row r="464" ht="12.75">
      <c r="A464" t="s">
        <v>88</v>
      </c>
    </row>
    <row r="465" ht="12.75">
      <c r="A465" t="s">
        <v>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F9" sqref="F9"/>
    </sheetView>
  </sheetViews>
  <sheetFormatPr defaultColWidth="9.140625" defaultRowHeight="12.75"/>
  <cols>
    <col min="5" max="5" width="10.28125" style="0" customWidth="1"/>
    <col min="6" max="6" width="9.8515625" style="0" customWidth="1"/>
  </cols>
  <sheetData>
    <row r="1" spans="1:5" ht="39" thickBot="1">
      <c r="A1" s="15" t="s">
        <v>24</v>
      </c>
      <c r="B1" s="16" t="s">
        <v>23</v>
      </c>
      <c r="C1" s="16" t="s">
        <v>25</v>
      </c>
      <c r="D1" s="16" t="s">
        <v>26</v>
      </c>
      <c r="E1" s="17" t="s">
        <v>27</v>
      </c>
    </row>
    <row r="2" spans="1:5" ht="12.75">
      <c r="A2" s="18" t="s">
        <v>84</v>
      </c>
      <c r="B2" s="19" t="s">
        <v>21</v>
      </c>
      <c r="C2" s="19">
        <v>2807.2634</v>
      </c>
      <c r="D2" s="19">
        <f>'Tape lengths'!AP3-'Tape lengths'!AO3-'Tape lengths'!AN3-'Tape lengths'!AL3-(0.45*8)</f>
        <v>2807.7865189462614</v>
      </c>
      <c r="E2" s="20">
        <f>D2-C2</f>
        <v>0.5231189462615475</v>
      </c>
    </row>
    <row r="3" spans="1:5" ht="12.75">
      <c r="A3" s="5" t="s">
        <v>85</v>
      </c>
      <c r="B3" s="6" t="s">
        <v>21</v>
      </c>
      <c r="C3" s="6">
        <v>988.1096</v>
      </c>
      <c r="D3" s="6">
        <f>'Tape lengths'!AP25-'Tape lengths'!AO25-'Tape lengths'!AN25-'Tape lengths'!AL25</f>
        <v>988.4294853212936</v>
      </c>
      <c r="E3" s="7">
        <f>D3-C3</f>
        <v>0.3198853212935546</v>
      </c>
    </row>
    <row r="4" spans="1:5" ht="12.75">
      <c r="A4" s="5" t="s">
        <v>84</v>
      </c>
      <c r="B4" s="6" t="s">
        <v>22</v>
      </c>
      <c r="C4" s="6">
        <v>2890</v>
      </c>
      <c r="D4" s="6">
        <f>'Tape lengths'!AP3-'Tape lengths'!AO3-'Tape lengths'!AN3</f>
        <v>2904.5911189462613</v>
      </c>
      <c r="E4" s="7">
        <f>D4-C4-'Tape lengths'!P3</f>
        <v>-4.008881053738698</v>
      </c>
    </row>
    <row r="5" spans="1:5" ht="12.75">
      <c r="A5" s="5" t="s">
        <v>85</v>
      </c>
      <c r="B5" s="6" t="s">
        <v>22</v>
      </c>
      <c r="C5" s="6">
        <v>1155</v>
      </c>
      <c r="D5" s="6">
        <f>'Tape lengths'!AP25-'Tape lengths'!AO25-'Tape lengths'!AN25</f>
        <v>1190.3610853212936</v>
      </c>
      <c r="E5" s="7">
        <f>D5-C5-'Tape lengths'!P25</f>
        <v>16.761085321293557</v>
      </c>
    </row>
    <row r="6" spans="1:5" ht="13.5" thickBot="1">
      <c r="A6" s="9" t="s">
        <v>86</v>
      </c>
      <c r="B6" s="10" t="s">
        <v>22</v>
      </c>
      <c r="C6" s="10">
        <v>2356</v>
      </c>
      <c r="D6" s="10">
        <f>'Tape lengths'!AP14-'Tape lengths'!AO14-'Tape lengths'!AN14</f>
        <v>2382.4033719228287</v>
      </c>
      <c r="E6" s="11">
        <f>D6-C6-'Tape lengths'!P16</f>
        <v>7.803371922828681</v>
      </c>
    </row>
    <row r="7" ht="13.5" thickBot="1"/>
    <row r="8" spans="1:5" ht="12.75">
      <c r="A8" s="21" t="s">
        <v>58</v>
      </c>
      <c r="B8" s="3"/>
      <c r="C8" s="3"/>
      <c r="D8" s="3"/>
      <c r="E8" s="32">
        <f>SUM('Tape lengths'!G3:G25)+SUM('Tape lengths'!G31:G53)+SUM('Tape lengths'!G57:G79)+SUM('Tape lengths'!G85:G107)</f>
        <v>247</v>
      </c>
    </row>
    <row r="9" spans="1:5" ht="26.25" thickBot="1">
      <c r="A9" s="31" t="s">
        <v>57</v>
      </c>
      <c r="B9" s="10"/>
      <c r="C9" s="10"/>
      <c r="D9" s="10"/>
      <c r="E9" s="24">
        <f>E8*4*2</f>
        <v>1976</v>
      </c>
    </row>
    <row r="10" ht="13.5" thickBot="1"/>
    <row r="11" spans="1:5" ht="39" thickBot="1">
      <c r="A11" s="29"/>
      <c r="B11" s="16" t="s">
        <v>59</v>
      </c>
      <c r="C11" s="16" t="s">
        <v>59</v>
      </c>
      <c r="D11" s="16" t="s">
        <v>59</v>
      </c>
      <c r="E11" s="17" t="s">
        <v>59</v>
      </c>
    </row>
    <row r="12" spans="1:5" ht="12.75">
      <c r="A12" s="26">
        <v>23</v>
      </c>
      <c r="B12" s="19">
        <f>'Tape lengths'!G3*'Tape lengths'!AP3</f>
        <v>5945.522237892523</v>
      </c>
      <c r="C12" s="19">
        <f>'Tape lengths'!G31*'Tape lengths'!AP31</f>
        <v>8913.303356838784</v>
      </c>
      <c r="D12" s="19">
        <f>'Tape lengths'!G57*'Tape lengths'!AP57</f>
        <v>8931.633356838784</v>
      </c>
      <c r="E12" s="20">
        <f>'Tape lengths'!G85*'Tape lengths'!AP85</f>
        <v>8978.043356838785</v>
      </c>
    </row>
    <row r="13" spans="1:5" ht="12.75">
      <c r="A13" s="22">
        <v>22</v>
      </c>
      <c r="B13" s="6">
        <f>'Tape lengths'!G4*'Tape lengths'!AP4</f>
        <v>8750.902661071237</v>
      </c>
      <c r="C13" s="6">
        <f>'Tape lengths'!G32*'Tape lengths'!AP32</f>
        <v>8745.922661071238</v>
      </c>
      <c r="D13" s="6">
        <f>'Tape lengths'!G58*'Tape lengths'!AP58</f>
        <v>8764.252661071238</v>
      </c>
      <c r="E13" s="7">
        <f>'Tape lengths'!G86*'Tape lengths'!AP86</f>
        <v>8810.662661071237</v>
      </c>
    </row>
    <row r="14" spans="1:5" ht="12.75">
      <c r="A14" s="22">
        <v>21</v>
      </c>
      <c r="B14" s="6">
        <f>'Tape lengths'!G5*'Tape lengths'!AP5</f>
        <v>8812.625396218291</v>
      </c>
      <c r="C14" s="6">
        <f>'Tape lengths'!G33*'Tape lengths'!AP33</f>
        <v>8807.645396218291</v>
      </c>
      <c r="D14" s="6">
        <f>'Tape lengths'!G59*'Tape lengths'!AP59</f>
        <v>8825.975396218291</v>
      </c>
      <c r="E14" s="7">
        <f>'Tape lengths'!G87*'Tape lengths'!AP87</f>
        <v>8872.385396218291</v>
      </c>
    </row>
    <row r="15" spans="1:5" ht="12.75">
      <c r="A15" s="22">
        <v>20</v>
      </c>
      <c r="B15" s="6">
        <f>'Tape lengths'!G6*'Tape lengths'!AP6</f>
        <v>8645.104488804489</v>
      </c>
      <c r="C15" s="6">
        <f>'Tape lengths'!G34*'Tape lengths'!AP34</f>
        <v>8640.12448880449</v>
      </c>
      <c r="D15" s="6">
        <f>'Tape lengths'!G60*'Tape lengths'!AP60</f>
        <v>8658.454488804487</v>
      </c>
      <c r="E15" s="7">
        <f>'Tape lengths'!G88*'Tape lengths'!AP88</f>
        <v>8704.86448880449</v>
      </c>
    </row>
    <row r="16" spans="1:5" ht="12.75">
      <c r="A16" s="22">
        <v>19</v>
      </c>
      <c r="B16" s="6">
        <f>'Tape lengths'!G7*'Tape lengths'!AP7</f>
        <v>2825.8628729532124</v>
      </c>
      <c r="C16" s="6">
        <f>'Tape lengths'!G35*'Tape lengths'!AP35</f>
        <v>8472.608618859638</v>
      </c>
      <c r="D16" s="6">
        <f>'Tape lengths'!G61*'Tape lengths'!AP61</f>
        <v>5660.6257459064245</v>
      </c>
      <c r="E16" s="7">
        <f>'Tape lengths'!G89*'Tape lengths'!AP89</f>
        <v>8537.348618859638</v>
      </c>
    </row>
    <row r="17" spans="1:5" ht="12.75">
      <c r="A17" s="22">
        <v>18</v>
      </c>
      <c r="B17" s="6">
        <f>'Tape lengths'!G8*'Tape lengths'!AP8</f>
        <v>8354.668335277549</v>
      </c>
      <c r="C17" s="6">
        <f>'Tape lengths'!G36*'Tape lengths'!AP36</f>
        <v>8349.68833527755</v>
      </c>
      <c r="D17" s="6">
        <f>'Tape lengths'!G62*'Tape lengths'!AP62</f>
        <v>8368.01833527755</v>
      </c>
      <c r="E17" s="7">
        <f>'Tape lengths'!G90*'Tape lengths'!AP90</f>
        <v>8414.42833527755</v>
      </c>
    </row>
    <row r="18" spans="1:5" ht="12.75">
      <c r="A18" s="22">
        <v>17</v>
      </c>
      <c r="B18" s="6">
        <f>'Tape lengths'!G9*'Tape lengths'!AP9</f>
        <v>8187.014962637255</v>
      </c>
      <c r="C18" s="6">
        <f>'Tape lengths'!G37*'Tape lengths'!AP37</f>
        <v>8182.034962637255</v>
      </c>
      <c r="D18" s="6">
        <f>'Tape lengths'!G63*'Tape lengths'!AP63</f>
        <v>8200.364962637253</v>
      </c>
      <c r="E18" s="7">
        <f>'Tape lengths'!G91*'Tape lengths'!AP91</f>
        <v>8246.774962637255</v>
      </c>
    </row>
    <row r="19" spans="1:5" ht="12.75">
      <c r="A19" s="22">
        <v>16</v>
      </c>
      <c r="B19" s="6">
        <f>'Tape lengths'!G10*'Tape lengths'!AP10</f>
        <v>2673.1208177211065</v>
      </c>
      <c r="C19" s="6">
        <f>'Tape lengths'!G38*'Tape lengths'!AP38</f>
        <v>8014.38245316332</v>
      </c>
      <c r="D19" s="6">
        <f>'Tape lengths'!G64*'Tape lengths'!AP64</f>
        <v>5355.141635442213</v>
      </c>
      <c r="E19" s="7">
        <f>'Tape lengths'!G92*'Tape lengths'!AP92</f>
        <v>8079.12245316332</v>
      </c>
    </row>
    <row r="20" spans="1:5" ht="12.75">
      <c r="A20" s="22">
        <v>15</v>
      </c>
      <c r="B20" s="6">
        <f>'Tape lengths'!G11*'Tape lengths'!AP11</f>
        <v>7752.6652120167555</v>
      </c>
      <c r="C20" s="6">
        <f>'Tape lengths'!G39*'Tape lengths'!AP39</f>
        <v>7747.685212016756</v>
      </c>
      <c r="D20" s="6">
        <f>'Tape lengths'!G65*'Tape lengths'!AP65</f>
        <v>7766.015212016755</v>
      </c>
      <c r="E20" s="7">
        <f>'Tape lengths'!G93*'Tape lengths'!AP93</f>
        <v>7812.425212016756</v>
      </c>
    </row>
    <row r="21" spans="1:5" ht="12.75">
      <c r="A21" s="22">
        <v>14</v>
      </c>
      <c r="B21" s="6">
        <f>'Tape lengths'!G12*'Tape lengths'!AP12</f>
        <v>7584.890370461482</v>
      </c>
      <c r="C21" s="6">
        <f>'Tape lengths'!G40*'Tape lengths'!AP40</f>
        <v>7579.910370461483</v>
      </c>
      <c r="D21" s="6">
        <f>'Tape lengths'!G66*'Tape lengths'!AP66</f>
        <v>7598.240370461481</v>
      </c>
      <c r="E21" s="7">
        <f>'Tape lengths'!G94*'Tape lengths'!AP94</f>
        <v>7644.650370461482</v>
      </c>
    </row>
    <row r="22" spans="1:5" ht="12.75">
      <c r="A22" s="22">
        <v>13</v>
      </c>
      <c r="B22" s="6">
        <f>'Tape lengths'!G13*'Tape lengths'!AP13</f>
        <v>2472.3739057505954</v>
      </c>
      <c r="C22" s="6">
        <f>'Tape lengths'!G41*'Tape lengths'!AP41</f>
        <v>7412.141717251787</v>
      </c>
      <c r="D22" s="6">
        <f>'Tape lengths'!G67*'Tape lengths'!AP67</f>
        <v>4953.6478115011905</v>
      </c>
      <c r="E22" s="7">
        <f>'Tape lengths'!G95*'Tape lengths'!AP95</f>
        <v>7476.8817172517865</v>
      </c>
    </row>
    <row r="23" spans="1:5" ht="12.75">
      <c r="A23" s="22">
        <v>12</v>
      </c>
      <c r="B23" s="6">
        <f>'Tape lengths'!G14*'Tape lengths'!AP14</f>
        <v>7483.720115768487</v>
      </c>
      <c r="C23" s="6">
        <f>'Tape lengths'!G42*'Tape lengths'!AP42</f>
        <v>7478.740115768487</v>
      </c>
      <c r="D23" s="6">
        <f>'Tape lengths'!G68*'Tape lengths'!AP68</f>
        <v>7497.070115768485</v>
      </c>
      <c r="E23" s="7">
        <f>'Tape lengths'!G96*'Tape lengths'!AP96</f>
        <v>7543.480115768487</v>
      </c>
    </row>
    <row r="24" spans="1:5" ht="12.75">
      <c r="A24" s="22">
        <v>11</v>
      </c>
      <c r="B24" s="6">
        <f>'Tape lengths'!G15*'Tape lengths'!AP15</f>
        <v>7315.826421310298</v>
      </c>
      <c r="C24" s="6">
        <f>'Tape lengths'!G43*'Tape lengths'!AP43</f>
        <v>7310.846421310299</v>
      </c>
      <c r="D24" s="6">
        <f>'Tape lengths'!G69*'Tape lengths'!AP69</f>
        <v>7329.176421310298</v>
      </c>
      <c r="E24" s="7">
        <f>'Tape lengths'!G97*'Tape lengths'!AP97</f>
        <v>7375.586421310299</v>
      </c>
    </row>
    <row r="25" spans="1:5" ht="12.75">
      <c r="A25" s="22">
        <v>10</v>
      </c>
      <c r="B25" s="6">
        <f>'Tape lengths'!G16*'Tape lengths'!AP16</f>
        <v>2382.6551318636275</v>
      </c>
      <c r="C25" s="6">
        <f>'Tape lengths'!G44*'Tape lengths'!AP44</f>
        <v>7142.985395590883</v>
      </c>
      <c r="D25" s="6">
        <f>'Tape lengths'!G70*'Tape lengths'!AP70</f>
        <v>4774.210263727255</v>
      </c>
      <c r="E25" s="7">
        <f>'Tape lengths'!G98*'Tape lengths'!AP98</f>
        <v>7207.725395590883</v>
      </c>
    </row>
    <row r="26" spans="1:5" ht="12.75">
      <c r="A26" s="22">
        <v>9</v>
      </c>
      <c r="B26" s="6">
        <f>'Tape lengths'!G17*'Tape lengths'!AP17</f>
        <v>6404.56336810474</v>
      </c>
      <c r="C26" s="6">
        <f>'Tape lengths'!G45*'Tape lengths'!AP45</f>
        <v>6399.583368104741</v>
      </c>
      <c r="D26" s="6">
        <f>'Tape lengths'!G71*'Tape lengths'!AP71</f>
        <v>6417.913368104739</v>
      </c>
      <c r="E26" s="7">
        <f>'Tape lengths'!G99*'Tape lengths'!AP99</f>
        <v>6464.32336810474</v>
      </c>
    </row>
    <row r="27" spans="1:5" ht="12.75">
      <c r="A27" s="22">
        <v>8</v>
      </c>
      <c r="B27" s="6">
        <f>'Tape lengths'!G18*'Tape lengths'!AP18</f>
        <v>6236.509296972047</v>
      </c>
      <c r="C27" s="6">
        <f>'Tape lengths'!G46*'Tape lengths'!AP46</f>
        <v>6231.529296972048</v>
      </c>
      <c r="D27" s="6">
        <f>'Tape lengths'!G72*'Tape lengths'!AP72</f>
        <v>6249.859296972047</v>
      </c>
      <c r="E27" s="7">
        <f>'Tape lengths'!G100*'Tape lengths'!AP100</f>
        <v>6296.269296972047</v>
      </c>
    </row>
    <row r="28" spans="1:5" ht="12.75">
      <c r="A28" s="22">
        <v>7</v>
      </c>
      <c r="B28" s="6">
        <f>'Tape lengths'!G19*'Tape lengths'!AP19</f>
        <v>2022.8554702814693</v>
      </c>
      <c r="C28" s="6">
        <f>'Tape lengths'!G47*'Tape lengths'!AP47</f>
        <v>6063.5864108444075</v>
      </c>
      <c r="D28" s="6">
        <f>'Tape lengths'!G73*'Tape lengths'!AP73</f>
        <v>4054.610940562938</v>
      </c>
      <c r="E28" s="7">
        <f>'Tape lengths'!G101*'Tape lengths'!AP101</f>
        <v>6128.326410844407</v>
      </c>
    </row>
    <row r="29" spans="1:5" ht="12.75">
      <c r="A29" s="22">
        <v>6</v>
      </c>
      <c r="B29" s="6">
        <f>'Tape lengths'!G20*'Tape lengths'!AP20</f>
        <v>3591.6270913867793</v>
      </c>
      <c r="C29" s="6">
        <f>'Tape lengths'!G48*'Tape lengths'!AP48</f>
        <v>5382.460637080168</v>
      </c>
      <c r="D29" s="6">
        <f>'Tape lengths'!G74*'Tape lengths'!AP74</f>
        <v>5400.790637080168</v>
      </c>
      <c r="E29" s="7">
        <f>'Tape lengths'!G102*'Tape lengths'!AP102</f>
        <v>5447.200637080168</v>
      </c>
    </row>
    <row r="30" spans="1:5" ht="12.75">
      <c r="A30" s="22">
        <v>5</v>
      </c>
      <c r="B30" s="6">
        <f>'Tape lengths'!G21*'Tape lengths'!AP21</f>
        <v>5219.470429641516</v>
      </c>
      <c r="C30" s="6">
        <f>'Tape lengths'!G49*'Tape lengths'!AP49</f>
        <v>5214.490429641515</v>
      </c>
      <c r="D30" s="6">
        <f>'Tape lengths'!G75*'Tape lengths'!AP75</f>
        <v>5232.820429641515</v>
      </c>
      <c r="E30" s="7">
        <f>'Tape lengths'!G103*'Tape lengths'!AP103</f>
        <v>5279.230429641515</v>
      </c>
    </row>
    <row r="31" spans="1:5" ht="12.75">
      <c r="A31" s="22">
        <v>4</v>
      </c>
      <c r="B31" s="6">
        <f>'Tape lengths'!G22*'Tape lengths'!AP22</f>
        <v>2828.67138623451</v>
      </c>
      <c r="C31" s="6">
        <f>'Tape lengths'!G50*'Tape lengths'!AP50</f>
        <v>4238.027079351765</v>
      </c>
      <c r="D31" s="6">
        <f>'Tape lengths'!G76*'Tape lengths'!AP76</f>
        <v>4256.357079351765</v>
      </c>
      <c r="E31" s="7">
        <f>'Tape lengths'!G104*'Tape lengths'!AP104</f>
        <v>4302.767079351765</v>
      </c>
    </row>
    <row r="32" spans="1:5" ht="12.75">
      <c r="A32" s="22">
        <v>3</v>
      </c>
      <c r="B32" s="6">
        <f>'Tape lengths'!G23*'Tape lengths'!AP23</f>
        <v>4075.0360910992736</v>
      </c>
      <c r="C32" s="6">
        <f>'Tape lengths'!G51*'Tape lengths'!AP51</f>
        <v>4070.0560910992735</v>
      </c>
      <c r="D32" s="6">
        <f>'Tape lengths'!G77*'Tape lengths'!AP77</f>
        <v>4088.386091099273</v>
      </c>
      <c r="E32" s="7">
        <f>'Tape lengths'!G105*'Tape lengths'!AP105</f>
        <v>4134.796091099273</v>
      </c>
    </row>
    <row r="33" spans="1:5" ht="13.5" thickBot="1">
      <c r="A33" s="22">
        <v>2</v>
      </c>
      <c r="B33" s="6">
        <f>'Tape lengths'!G24*'Tape lengths'!AP24</f>
        <v>1270.5586316377744</v>
      </c>
      <c r="C33" s="6">
        <f>'Tape lengths'!G52*'Tape lengths'!AP52</f>
        <v>1268.8986316377743</v>
      </c>
      <c r="D33" s="6">
        <f>'Tape lengths'!G78*'Tape lengths'!AP78</f>
        <v>0</v>
      </c>
      <c r="E33" s="7">
        <f>'Tape lengths'!G106*'Tape lengths'!AP106</f>
        <v>1290.4786316377742</v>
      </c>
    </row>
    <row r="34" spans="1:6" ht="51">
      <c r="A34" s="22">
        <v>1</v>
      </c>
      <c r="B34" s="6">
        <f>'Tape lengths'!G25*'Tape lengths'!AP25</f>
        <v>3643.593255963881</v>
      </c>
      <c r="C34" s="6">
        <f>'Tape lengths'!G53*'Tape lengths'!AP53</f>
        <v>2425.742170642587</v>
      </c>
      <c r="D34" s="6">
        <f>'Tape lengths'!G79*'Tape lengths'!AP79</f>
        <v>3656.9432559638803</v>
      </c>
      <c r="E34" s="30">
        <f>'Tape lengths'!G107*'Tape lengths'!AP107</f>
        <v>2468.902170642587</v>
      </c>
      <c r="F34" s="35" t="s">
        <v>60</v>
      </c>
    </row>
    <row r="35" spans="1:6" ht="13.5" thickBot="1">
      <c r="A35" s="23" t="s">
        <v>58</v>
      </c>
      <c r="B35" s="25">
        <f>SUM(B12:B34)</f>
        <v>124479.8379510689</v>
      </c>
      <c r="C35" s="25">
        <f>SUM(C12:C34)</f>
        <v>154092.39362064452</v>
      </c>
      <c r="D35" s="25">
        <f>SUM(D12:D34)</f>
        <v>142040.50787575802</v>
      </c>
      <c r="E35" s="33">
        <f>SUM(E12:E34)</f>
        <v>155516.67362064458</v>
      </c>
      <c r="F35" s="34">
        <f>SUM(B35:E35)/1000*4*2</f>
        <v>4609.035304544928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6"/>
  <sheetViews>
    <sheetView workbookViewId="0" topLeftCell="A13">
      <selection activeCell="B2" sqref="B2"/>
    </sheetView>
  </sheetViews>
  <sheetFormatPr defaultColWidth="9.140625" defaultRowHeight="12.75"/>
  <cols>
    <col min="2" max="2" width="13.00390625" style="0" customWidth="1"/>
    <col min="3" max="3" width="10.7109375" style="87" customWidth="1"/>
    <col min="5" max="5" width="10.28125" style="0" customWidth="1"/>
    <col min="6" max="7" width="11.140625" style="0" customWidth="1"/>
    <col min="8" max="8" width="9.140625" style="132" customWidth="1"/>
    <col min="9" max="9" width="9.140625" style="133" customWidth="1"/>
    <col min="10" max="10" width="9.140625" style="132" customWidth="1"/>
    <col min="11" max="11" width="9.140625" style="133" customWidth="1"/>
    <col min="12" max="12" width="9.140625" style="132" customWidth="1"/>
    <col min="13" max="13" width="9.140625" style="133" customWidth="1"/>
    <col min="15" max="15" width="3.421875" style="0" customWidth="1"/>
    <col min="16" max="16" width="9.140625" style="132" customWidth="1"/>
    <col min="17" max="17" width="11.28125" style="0" customWidth="1"/>
    <col min="18" max="18" width="10.8515625" style="0" customWidth="1"/>
    <col min="19" max="19" width="9.140625" style="132" customWidth="1"/>
    <col min="20" max="20" width="11.28125" style="0" customWidth="1"/>
    <col min="21" max="21" width="10.8515625" style="0" customWidth="1"/>
    <col min="22" max="22" width="9.140625" style="132" customWidth="1"/>
    <col min="23" max="23" width="11.28125" style="0" customWidth="1"/>
    <col min="24" max="24" width="10.8515625" style="0" customWidth="1"/>
  </cols>
  <sheetData>
    <row r="1" spans="1:28" s="134" customFormat="1" ht="103.5" thickBot="1" thickTop="1">
      <c r="A1" s="136" t="s">
        <v>61</v>
      </c>
      <c r="B1" s="137" t="s">
        <v>154</v>
      </c>
      <c r="C1" s="154" t="s">
        <v>158</v>
      </c>
      <c r="D1" s="137" t="s">
        <v>159</v>
      </c>
      <c r="E1" s="137" t="s">
        <v>160</v>
      </c>
      <c r="F1" s="137" t="s">
        <v>184</v>
      </c>
      <c r="G1" s="137" t="s">
        <v>198</v>
      </c>
      <c r="H1" s="137" t="s">
        <v>155</v>
      </c>
      <c r="I1" s="137" t="s">
        <v>161</v>
      </c>
      <c r="J1" s="137" t="s">
        <v>156</v>
      </c>
      <c r="K1" s="137" t="s">
        <v>161</v>
      </c>
      <c r="L1" s="137" t="s">
        <v>157</v>
      </c>
      <c r="M1" s="138" t="s">
        <v>161</v>
      </c>
      <c r="O1" s="229" t="s">
        <v>61</v>
      </c>
      <c r="P1" s="226" t="s">
        <v>188</v>
      </c>
      <c r="Q1" s="199" t="s">
        <v>189</v>
      </c>
      <c r="R1" s="201" t="s">
        <v>193</v>
      </c>
      <c r="S1" s="202" t="s">
        <v>188</v>
      </c>
      <c r="T1" s="199" t="s">
        <v>189</v>
      </c>
      <c r="U1" s="203" t="s">
        <v>192</v>
      </c>
      <c r="V1" s="202" t="s">
        <v>188</v>
      </c>
      <c r="W1" s="199" t="s">
        <v>189</v>
      </c>
      <c r="X1" s="200" t="s">
        <v>194</v>
      </c>
      <c r="Z1" s="309" t="s">
        <v>211</v>
      </c>
      <c r="AA1" s="310" t="s">
        <v>212</v>
      </c>
      <c r="AB1" s="311" t="s">
        <v>199</v>
      </c>
    </row>
    <row r="2" spans="1:28" ht="13.5" thickTop="1">
      <c r="A2" s="125">
        <f>'Tape lengths'!D3</f>
        <v>1</v>
      </c>
      <c r="B2" s="139" t="str">
        <f>'Tape lengths'!F3</f>
        <v>_O1/___/_O3</v>
      </c>
      <c r="C2" s="155" t="s">
        <v>200</v>
      </c>
      <c r="D2" s="139">
        <v>25</v>
      </c>
      <c r="E2" s="139">
        <v>62.5</v>
      </c>
      <c r="F2" s="146">
        <v>2</v>
      </c>
      <c r="G2" s="302">
        <v>43.5</v>
      </c>
      <c r="H2" s="160" t="str">
        <f aca="true" t="shared" si="0" ref="H2:H24">IF((MID(B2,1,3))="___","None",(MID(B2,1,3))&amp;" =")</f>
        <v>_O1 =</v>
      </c>
      <c r="I2" s="161">
        <f>IF((MID(B2,1,3))="___","None",(MID(C2,1,3))+D2+E2+F2+G2)</f>
        <v>323</v>
      </c>
      <c r="J2" s="160" t="str">
        <f aca="true" t="shared" si="1" ref="J2:J24">IF((MID(B2,5,3))="___","None",(MID(B2,5,3))&amp;" =")</f>
        <v>None</v>
      </c>
      <c r="K2" s="161" t="str">
        <f>IF((MID(B2,5,3))="___","None",(MID(C2,5,3))+D2+E2+F2+G2)</f>
        <v>None</v>
      </c>
      <c r="L2" s="160" t="str">
        <f aca="true" t="shared" si="2" ref="L2:L24">IF((MID(B2,9,3))="___","None",(MID(B2,9,3))&amp;" =")</f>
        <v>_O3 =</v>
      </c>
      <c r="M2" s="162">
        <f>IF((MID(B2,9,3))="___","None",(MID(C2,9,3))+D2+E2+F2+G2)</f>
        <v>323</v>
      </c>
      <c r="O2" s="230">
        <v>1</v>
      </c>
      <c r="P2" s="227" t="str">
        <f aca="true" t="shared" si="3" ref="P2:P24">IF((MID(B2,1,3))="___","",(MID(B2,1,3))&amp;" =")</f>
        <v>_O1 =</v>
      </c>
      <c r="Q2" s="206">
        <v>1</v>
      </c>
      <c r="R2" s="207">
        <v>-3</v>
      </c>
      <c r="S2" s="208">
        <f aca="true" t="shared" si="4" ref="S2:S24">IF((MID(B2,5,3))="___","",(MID(B2,5,3))&amp;" =")</f>
      </c>
      <c r="T2" s="206"/>
      <c r="U2" s="209"/>
      <c r="V2" s="208" t="str">
        <f aca="true" t="shared" si="5" ref="V2:V24">IF((MID(B2,9,3))="___","",(MID(B2,9,3))&amp;" =")</f>
        <v>_O3 =</v>
      </c>
      <c r="W2" s="206">
        <v>1</v>
      </c>
      <c r="X2" s="210">
        <v>4</v>
      </c>
      <c r="Z2" s="312">
        <v>240.5</v>
      </c>
      <c r="AA2" s="295">
        <v>1</v>
      </c>
      <c r="AB2" s="313">
        <v>3</v>
      </c>
    </row>
    <row r="3" spans="1:28" ht="13.5" thickBot="1">
      <c r="A3" s="140">
        <f>'Tape lengths'!D4</f>
        <v>1</v>
      </c>
      <c r="B3" s="6" t="str">
        <f>'Tape lengths'!F4</f>
        <v>_M1/_O2/_M2</v>
      </c>
      <c r="C3" s="156" t="str">
        <f>C2</f>
        <v>190/190/190</v>
      </c>
      <c r="D3" s="6">
        <v>25</v>
      </c>
      <c r="E3" s="6">
        <v>106.5</v>
      </c>
      <c r="F3" s="30">
        <v>2</v>
      </c>
      <c r="G3" s="303">
        <v>43.5</v>
      </c>
      <c r="H3" s="163" t="str">
        <f t="shared" si="0"/>
        <v>_M1 =</v>
      </c>
      <c r="I3" s="164">
        <f>IF((MID(B3,1,3))="___","None",(MID(C3,1,3))+D3+E3+F3+G3)</f>
        <v>367</v>
      </c>
      <c r="J3" s="163" t="str">
        <f t="shared" si="1"/>
        <v>_O2 =</v>
      </c>
      <c r="K3" s="164">
        <f>IF((MID(B3,5,3))="___","None",(MID(C3,5,3))+D3+E3+F3+G3)</f>
        <v>367</v>
      </c>
      <c r="L3" s="163" t="str">
        <f t="shared" si="2"/>
        <v>_M2 =</v>
      </c>
      <c r="M3" s="165">
        <f>IF((MID(B3,9,3))="___","None",(MID(C3,9,3))+D3+E3+F3+G3)</f>
        <v>367</v>
      </c>
      <c r="O3" s="237">
        <v>1</v>
      </c>
      <c r="P3" s="238" t="str">
        <f t="shared" si="3"/>
        <v>_M1 =</v>
      </c>
      <c r="Q3" s="239">
        <v>1</v>
      </c>
      <c r="R3" s="240">
        <v>-4</v>
      </c>
      <c r="S3" s="241" t="str">
        <f t="shared" si="4"/>
        <v>_O2 =</v>
      </c>
      <c r="T3" s="239">
        <v>1</v>
      </c>
      <c r="U3" s="242">
        <v>0</v>
      </c>
      <c r="V3" s="241" t="str">
        <f t="shared" si="5"/>
        <v>_M2 =</v>
      </c>
      <c r="W3" s="239">
        <v>1</v>
      </c>
      <c r="X3" s="243">
        <v>5</v>
      </c>
      <c r="Z3" s="312">
        <v>249.5</v>
      </c>
      <c r="AA3" s="295">
        <v>2</v>
      </c>
      <c r="AB3" s="313">
        <v>3</v>
      </c>
    </row>
    <row r="4" spans="1:28" ht="12.75">
      <c r="A4" s="145">
        <f>'Tape lengths'!D5</f>
        <v>2</v>
      </c>
      <c r="B4" s="3" t="str">
        <f>'Tape lengths'!F5</f>
        <v>_O1/_I2/_O3</v>
      </c>
      <c r="C4" s="157" t="s">
        <v>201</v>
      </c>
      <c r="D4" s="3">
        <v>25</v>
      </c>
      <c r="E4" s="3">
        <v>18.5</v>
      </c>
      <c r="F4" s="147">
        <v>2</v>
      </c>
      <c r="G4" s="304"/>
      <c r="H4" s="166" t="str">
        <f t="shared" si="0"/>
        <v>_O1 =</v>
      </c>
      <c r="I4" s="167">
        <f aca="true" t="shared" si="6" ref="I4:I24">IF((MID(B4,1,3))="___","None",(MID(C4,1,3))+D4+E4+F4)</f>
        <v>240.5</v>
      </c>
      <c r="J4" s="166" t="str">
        <f t="shared" si="1"/>
        <v>_I2 =</v>
      </c>
      <c r="K4" s="167">
        <f aca="true" t="shared" si="7" ref="K4:K24">IF((MID(B4,5,3))="___","None",(MID(C4,5,3))+D4+E4+F4)</f>
        <v>240.5</v>
      </c>
      <c r="L4" s="166" t="str">
        <f t="shared" si="2"/>
        <v>_O3 =</v>
      </c>
      <c r="M4" s="168">
        <f aca="true" t="shared" si="8" ref="M4:M24">IF((MID(B4,9,3))="___","None",(MID(C4,9,3))+D4+E4+F4)</f>
        <v>240.5</v>
      </c>
      <c r="O4" s="232">
        <v>2</v>
      </c>
      <c r="P4" s="233" t="str">
        <f t="shared" si="3"/>
        <v>_O1 =</v>
      </c>
      <c r="Q4" s="204">
        <v>1</v>
      </c>
      <c r="R4" s="205">
        <v>-5</v>
      </c>
      <c r="S4" s="234" t="str">
        <f t="shared" si="4"/>
        <v>_I2 =</v>
      </c>
      <c r="T4" s="204">
        <v>1</v>
      </c>
      <c r="U4" s="235">
        <v>-1</v>
      </c>
      <c r="V4" s="234" t="str">
        <f t="shared" si="5"/>
        <v>_O3 =</v>
      </c>
      <c r="W4" s="204">
        <v>1</v>
      </c>
      <c r="X4" s="236">
        <v>6</v>
      </c>
      <c r="Z4" s="312">
        <v>257.5</v>
      </c>
      <c r="AA4" s="295">
        <v>3</v>
      </c>
      <c r="AB4" s="313">
        <v>3</v>
      </c>
    </row>
    <row r="5" spans="1:28" ht="12.75">
      <c r="A5" s="140">
        <f>'Tape lengths'!D6</f>
        <v>2</v>
      </c>
      <c r="B5" s="6" t="str">
        <f>'Tape lengths'!F6</f>
        <v>_I1/_02/_M2</v>
      </c>
      <c r="C5" s="156" t="str">
        <f aca="true" t="shared" si="9" ref="C5:C24">C4</f>
        <v>195/195/195</v>
      </c>
      <c r="D5" s="6">
        <v>25</v>
      </c>
      <c r="E5" s="6">
        <v>62.5</v>
      </c>
      <c r="F5" s="30">
        <v>2</v>
      </c>
      <c r="G5" s="305"/>
      <c r="H5" s="163" t="str">
        <f t="shared" si="0"/>
        <v>_I1 =</v>
      </c>
      <c r="I5" s="164">
        <f t="shared" si="6"/>
        <v>284.5</v>
      </c>
      <c r="J5" s="163" t="str">
        <f t="shared" si="1"/>
        <v>_02 =</v>
      </c>
      <c r="K5" s="164">
        <f t="shared" si="7"/>
        <v>284.5</v>
      </c>
      <c r="L5" s="163" t="str">
        <f t="shared" si="2"/>
        <v>_M2 =</v>
      </c>
      <c r="M5" s="165">
        <f t="shared" si="8"/>
        <v>284.5</v>
      </c>
      <c r="O5" s="230">
        <v>2</v>
      </c>
      <c r="P5" s="227" t="str">
        <f t="shared" si="3"/>
        <v>_I1 =</v>
      </c>
      <c r="Q5" s="206">
        <v>1</v>
      </c>
      <c r="R5" s="207">
        <v>-6</v>
      </c>
      <c r="S5" s="208" t="str">
        <f t="shared" si="4"/>
        <v>_02 =</v>
      </c>
      <c r="T5" s="206">
        <v>1</v>
      </c>
      <c r="U5" s="209">
        <v>1</v>
      </c>
      <c r="V5" s="208" t="str">
        <f t="shared" si="5"/>
        <v>_M2 =</v>
      </c>
      <c r="W5" s="206">
        <v>1</v>
      </c>
      <c r="X5" s="210">
        <v>7</v>
      </c>
      <c r="Z5" s="312">
        <v>268.5</v>
      </c>
      <c r="AA5" s="295">
        <v>4</v>
      </c>
      <c r="AB5" s="313">
        <v>3</v>
      </c>
    </row>
    <row r="6" spans="1:28" ht="13.5" thickBot="1">
      <c r="A6" s="140">
        <f>'Tape lengths'!D7</f>
        <v>2</v>
      </c>
      <c r="B6" s="6" t="str">
        <f>'Tape lengths'!F7</f>
        <v>_M1/___/___</v>
      </c>
      <c r="C6" s="156" t="str">
        <f t="shared" si="9"/>
        <v>195/195/195</v>
      </c>
      <c r="D6" s="6">
        <v>25</v>
      </c>
      <c r="E6" s="6">
        <v>106.5</v>
      </c>
      <c r="F6" s="30">
        <v>2</v>
      </c>
      <c r="G6" s="305"/>
      <c r="H6" s="163" t="str">
        <f t="shared" si="0"/>
        <v>_M1 =</v>
      </c>
      <c r="I6" s="164">
        <f t="shared" si="6"/>
        <v>328.5</v>
      </c>
      <c r="J6" s="163" t="str">
        <f t="shared" si="1"/>
        <v>None</v>
      </c>
      <c r="K6" s="164" t="str">
        <f t="shared" si="7"/>
        <v>None</v>
      </c>
      <c r="L6" s="163" t="str">
        <f t="shared" si="2"/>
        <v>None</v>
      </c>
      <c r="M6" s="165" t="str">
        <f t="shared" si="8"/>
        <v>None</v>
      </c>
      <c r="O6" s="237">
        <v>2</v>
      </c>
      <c r="P6" s="238" t="str">
        <f t="shared" si="3"/>
        <v>_M1 =</v>
      </c>
      <c r="Q6" s="239">
        <v>1</v>
      </c>
      <c r="R6" s="240">
        <v>-7</v>
      </c>
      <c r="S6" s="241">
        <f t="shared" si="4"/>
      </c>
      <c r="T6" s="239"/>
      <c r="U6" s="242"/>
      <c r="V6" s="241">
        <f t="shared" si="5"/>
      </c>
      <c r="W6" s="239"/>
      <c r="X6" s="243"/>
      <c r="Z6" s="312">
        <v>278.5</v>
      </c>
      <c r="AA6" s="295">
        <v>5</v>
      </c>
      <c r="AB6" s="313">
        <v>3</v>
      </c>
    </row>
    <row r="7" spans="1:28" ht="12.75">
      <c r="A7" s="145">
        <f>'Tape lengths'!D8</f>
        <v>3</v>
      </c>
      <c r="B7" s="3" t="str">
        <f>'Tape lengths'!F8</f>
        <v>_O1/_I2/_O3</v>
      </c>
      <c r="C7" s="157" t="s">
        <v>202</v>
      </c>
      <c r="D7" s="3">
        <v>25</v>
      </c>
      <c r="E7" s="3">
        <v>18.5</v>
      </c>
      <c r="F7" s="147">
        <v>2</v>
      </c>
      <c r="G7" s="304"/>
      <c r="H7" s="169" t="str">
        <f t="shared" si="0"/>
        <v>_O1 =</v>
      </c>
      <c r="I7" s="170">
        <f t="shared" si="6"/>
        <v>249.5</v>
      </c>
      <c r="J7" s="169" t="str">
        <f t="shared" si="1"/>
        <v>_I2 =</v>
      </c>
      <c r="K7" s="170">
        <f t="shared" si="7"/>
        <v>249.5</v>
      </c>
      <c r="L7" s="169" t="str">
        <f t="shared" si="2"/>
        <v>_O3 =</v>
      </c>
      <c r="M7" s="171">
        <f t="shared" si="8"/>
        <v>249.5</v>
      </c>
      <c r="O7" s="230">
        <v>3</v>
      </c>
      <c r="P7" s="244" t="str">
        <f t="shared" si="3"/>
        <v>_O1 =</v>
      </c>
      <c r="Q7" s="152">
        <v>2</v>
      </c>
      <c r="R7" s="245">
        <v>-3</v>
      </c>
      <c r="S7" s="246" t="str">
        <f t="shared" si="4"/>
        <v>_I2 =</v>
      </c>
      <c r="T7" s="152">
        <v>2</v>
      </c>
      <c r="U7" s="247">
        <v>0</v>
      </c>
      <c r="V7" s="246" t="str">
        <f t="shared" si="5"/>
        <v>_O3 =</v>
      </c>
      <c r="W7" s="152">
        <v>2</v>
      </c>
      <c r="X7" s="248">
        <v>5</v>
      </c>
      <c r="Z7" s="312">
        <v>284.5</v>
      </c>
      <c r="AA7" s="295">
        <v>6</v>
      </c>
      <c r="AB7" s="313">
        <v>3</v>
      </c>
    </row>
    <row r="8" spans="1:28" ht="12.75">
      <c r="A8" s="140">
        <f>'Tape lengths'!D9</f>
        <v>3</v>
      </c>
      <c r="B8" s="6" t="str">
        <f>'Tape lengths'!F9</f>
        <v>_I1/_02/_M2</v>
      </c>
      <c r="C8" s="156" t="str">
        <f t="shared" si="9"/>
        <v>204/204/204</v>
      </c>
      <c r="D8" s="6">
        <v>25</v>
      </c>
      <c r="E8" s="6">
        <v>62.5</v>
      </c>
      <c r="F8" s="30">
        <v>2</v>
      </c>
      <c r="G8" s="305"/>
      <c r="H8" s="172" t="str">
        <f t="shared" si="0"/>
        <v>_I1 =</v>
      </c>
      <c r="I8" s="173">
        <f t="shared" si="6"/>
        <v>293.5</v>
      </c>
      <c r="J8" s="172" t="str">
        <f t="shared" si="1"/>
        <v>_02 =</v>
      </c>
      <c r="K8" s="173">
        <f t="shared" si="7"/>
        <v>293.5</v>
      </c>
      <c r="L8" s="172" t="str">
        <f t="shared" si="2"/>
        <v>_M2 =</v>
      </c>
      <c r="M8" s="174">
        <f t="shared" si="8"/>
        <v>293.5</v>
      </c>
      <c r="O8" s="230">
        <v>3</v>
      </c>
      <c r="P8" s="211" t="str">
        <f t="shared" si="3"/>
        <v>_I1 =</v>
      </c>
      <c r="Q8" s="153">
        <v>2</v>
      </c>
      <c r="R8" s="212">
        <v>-4</v>
      </c>
      <c r="S8" s="213" t="str">
        <f t="shared" si="4"/>
        <v>_02 =</v>
      </c>
      <c r="T8" s="153">
        <v>2</v>
      </c>
      <c r="U8" s="214">
        <v>-1</v>
      </c>
      <c r="V8" s="213" t="str">
        <f t="shared" si="5"/>
        <v>_M2 =</v>
      </c>
      <c r="W8" s="153">
        <v>2</v>
      </c>
      <c r="X8" s="215">
        <v>6</v>
      </c>
      <c r="Z8" s="314">
        <v>290.5</v>
      </c>
      <c r="AA8" s="295" t="s">
        <v>213</v>
      </c>
      <c r="AB8" s="313"/>
    </row>
    <row r="9" spans="1:28" ht="13.5" thickBot="1">
      <c r="A9" s="140">
        <f>'Tape lengths'!D10</f>
        <v>3</v>
      </c>
      <c r="B9" s="6" t="str">
        <f>'Tape lengths'!F10</f>
        <v>_M1/___/___</v>
      </c>
      <c r="C9" s="156" t="str">
        <f t="shared" si="9"/>
        <v>204/204/204</v>
      </c>
      <c r="D9" s="6">
        <v>25</v>
      </c>
      <c r="E9" s="6">
        <v>106.5</v>
      </c>
      <c r="F9" s="30">
        <v>2</v>
      </c>
      <c r="G9" s="305"/>
      <c r="H9" s="172" t="str">
        <f t="shared" si="0"/>
        <v>_M1 =</v>
      </c>
      <c r="I9" s="173">
        <f t="shared" si="6"/>
        <v>337.5</v>
      </c>
      <c r="J9" s="172" t="str">
        <f t="shared" si="1"/>
        <v>None</v>
      </c>
      <c r="K9" s="173" t="str">
        <f t="shared" si="7"/>
        <v>None</v>
      </c>
      <c r="L9" s="172" t="str">
        <f t="shared" si="2"/>
        <v>None</v>
      </c>
      <c r="M9" s="174" t="str">
        <f t="shared" si="8"/>
        <v>None</v>
      </c>
      <c r="O9" s="237">
        <v>3</v>
      </c>
      <c r="P9" s="249" t="str">
        <f t="shared" si="3"/>
        <v>_M1 =</v>
      </c>
      <c r="Q9" s="250">
        <v>2</v>
      </c>
      <c r="R9" s="251">
        <v>-5</v>
      </c>
      <c r="S9" s="252">
        <f t="shared" si="4"/>
      </c>
      <c r="T9" s="250"/>
      <c r="U9" s="253"/>
      <c r="V9" s="252">
        <f t="shared" si="5"/>
      </c>
      <c r="W9" s="250"/>
      <c r="X9" s="254"/>
      <c r="Z9" s="315">
        <v>293.5</v>
      </c>
      <c r="AA9" s="295">
        <v>7</v>
      </c>
      <c r="AB9" s="313">
        <v>5</v>
      </c>
    </row>
    <row r="10" spans="1:28" ht="12.75">
      <c r="A10" s="145">
        <f>'Tape lengths'!D11</f>
        <v>4</v>
      </c>
      <c r="B10" s="3" t="str">
        <f>'Tape lengths'!F11</f>
        <v>_O1/_I2/_O3</v>
      </c>
      <c r="C10" s="157" t="s">
        <v>204</v>
      </c>
      <c r="D10" s="3">
        <v>25</v>
      </c>
      <c r="E10" s="3">
        <v>18.5</v>
      </c>
      <c r="F10" s="147">
        <v>2</v>
      </c>
      <c r="G10" s="304"/>
      <c r="H10" s="169" t="str">
        <f t="shared" si="0"/>
        <v>_O1 =</v>
      </c>
      <c r="I10" s="170">
        <f t="shared" si="6"/>
        <v>257.5</v>
      </c>
      <c r="J10" s="169" t="str">
        <f t="shared" si="1"/>
        <v>_I2 =</v>
      </c>
      <c r="K10" s="170">
        <f t="shared" si="7"/>
        <v>257.5</v>
      </c>
      <c r="L10" s="169" t="str">
        <f t="shared" si="2"/>
        <v>_O3 =</v>
      </c>
      <c r="M10" s="171">
        <f t="shared" si="8"/>
        <v>257.5</v>
      </c>
      <c r="O10" s="230">
        <v>4</v>
      </c>
      <c r="P10" s="244" t="str">
        <f t="shared" si="3"/>
        <v>_O1 =</v>
      </c>
      <c r="Q10" s="152">
        <v>2</v>
      </c>
      <c r="R10" s="245">
        <v>-6</v>
      </c>
      <c r="S10" s="246" t="str">
        <f t="shared" si="4"/>
        <v>_I2 =</v>
      </c>
      <c r="T10" s="152">
        <v>2</v>
      </c>
      <c r="U10" s="247">
        <v>1</v>
      </c>
      <c r="V10" s="246" t="str">
        <f t="shared" si="5"/>
        <v>_O3 =</v>
      </c>
      <c r="W10" s="152">
        <v>2</v>
      </c>
      <c r="X10" s="248">
        <v>7</v>
      </c>
      <c r="Z10" s="314">
        <v>301.5</v>
      </c>
      <c r="AA10" s="295" t="s">
        <v>213</v>
      </c>
      <c r="AB10" s="313"/>
    </row>
    <row r="11" spans="1:28" ht="12.75">
      <c r="A11" s="140">
        <f>'Tape lengths'!D12</f>
        <v>4</v>
      </c>
      <c r="B11" s="6" t="str">
        <f>'Tape lengths'!F12</f>
        <v>_I1/_02/_M2</v>
      </c>
      <c r="C11" s="156" t="str">
        <f t="shared" si="9"/>
        <v>212/212/212</v>
      </c>
      <c r="D11" s="6">
        <v>25</v>
      </c>
      <c r="E11" s="6">
        <v>62.5</v>
      </c>
      <c r="F11" s="30">
        <v>2</v>
      </c>
      <c r="G11" s="305"/>
      <c r="H11" s="172" t="str">
        <f t="shared" si="0"/>
        <v>_I1 =</v>
      </c>
      <c r="I11" s="173">
        <f t="shared" si="6"/>
        <v>301.5</v>
      </c>
      <c r="J11" s="172" t="str">
        <f t="shared" si="1"/>
        <v>_02 =</v>
      </c>
      <c r="K11" s="173">
        <f t="shared" si="7"/>
        <v>301.5</v>
      </c>
      <c r="L11" s="172" t="str">
        <f t="shared" si="2"/>
        <v>_M2 =</v>
      </c>
      <c r="M11" s="174">
        <f t="shared" si="8"/>
        <v>301.5</v>
      </c>
      <c r="O11" s="230">
        <v>4</v>
      </c>
      <c r="P11" s="211" t="str">
        <f t="shared" si="3"/>
        <v>_I1 =</v>
      </c>
      <c r="Q11" s="153">
        <v>2</v>
      </c>
      <c r="R11" s="212">
        <v>-7</v>
      </c>
      <c r="S11" s="213" t="str">
        <f t="shared" si="4"/>
        <v>_02 =</v>
      </c>
      <c r="T11" s="153">
        <v>2</v>
      </c>
      <c r="U11" s="214">
        <v>2</v>
      </c>
      <c r="V11" s="213" t="str">
        <f t="shared" si="5"/>
        <v>_M2 =</v>
      </c>
      <c r="W11" s="153">
        <v>2</v>
      </c>
      <c r="X11" s="215">
        <v>8</v>
      </c>
      <c r="Z11" s="315">
        <v>301.5</v>
      </c>
      <c r="AA11" s="295">
        <v>8</v>
      </c>
      <c r="AB11" s="313">
        <v>5</v>
      </c>
    </row>
    <row r="12" spans="1:28" ht="13.5" thickBot="1">
      <c r="A12" s="140">
        <f>'Tape lengths'!D13</f>
        <v>4</v>
      </c>
      <c r="B12" s="6" t="str">
        <f>'Tape lengths'!F13</f>
        <v>_M1/___/___</v>
      </c>
      <c r="C12" s="156" t="s">
        <v>206</v>
      </c>
      <c r="D12" s="6">
        <v>25</v>
      </c>
      <c r="E12" s="6">
        <v>106.5</v>
      </c>
      <c r="F12" s="30">
        <v>2</v>
      </c>
      <c r="G12" s="305"/>
      <c r="H12" s="172" t="str">
        <f t="shared" si="0"/>
        <v>_M1 =</v>
      </c>
      <c r="I12" s="173">
        <f t="shared" si="6"/>
        <v>348.5</v>
      </c>
      <c r="J12" s="175" t="str">
        <f t="shared" si="1"/>
        <v>None</v>
      </c>
      <c r="K12" s="176" t="str">
        <f t="shared" si="7"/>
        <v>None</v>
      </c>
      <c r="L12" s="172" t="str">
        <f t="shared" si="2"/>
        <v>None</v>
      </c>
      <c r="M12" s="174" t="str">
        <f t="shared" si="8"/>
        <v>None</v>
      </c>
      <c r="O12" s="237">
        <v>4</v>
      </c>
      <c r="P12" s="249" t="str">
        <f t="shared" si="3"/>
        <v>_M1 =</v>
      </c>
      <c r="Q12" s="250">
        <v>2</v>
      </c>
      <c r="R12" s="251">
        <v>-8</v>
      </c>
      <c r="S12" s="255">
        <f t="shared" si="4"/>
      </c>
      <c r="T12" s="256"/>
      <c r="U12" s="257"/>
      <c r="V12" s="252">
        <f t="shared" si="5"/>
      </c>
      <c r="W12" s="250"/>
      <c r="X12" s="254"/>
      <c r="Z12" s="314">
        <v>312.5</v>
      </c>
      <c r="AA12" s="295" t="s">
        <v>213</v>
      </c>
      <c r="AB12" s="313"/>
    </row>
    <row r="13" spans="1:28" ht="12.75">
      <c r="A13" s="145">
        <f>'Tape lengths'!D14</f>
        <v>5</v>
      </c>
      <c r="B13" s="3" t="str">
        <f>'Tape lengths'!F14</f>
        <v>_O1/_I2/_O3</v>
      </c>
      <c r="C13" s="157" t="s">
        <v>203</v>
      </c>
      <c r="D13" s="3">
        <v>25</v>
      </c>
      <c r="E13" s="3">
        <v>18.5</v>
      </c>
      <c r="F13" s="147">
        <v>2</v>
      </c>
      <c r="G13" s="304"/>
      <c r="H13" s="177" t="str">
        <f t="shared" si="0"/>
        <v>_O1 =</v>
      </c>
      <c r="I13" s="178">
        <f t="shared" si="6"/>
        <v>268.5</v>
      </c>
      <c r="J13" s="177" t="str">
        <f t="shared" si="1"/>
        <v>_I2 =</v>
      </c>
      <c r="K13" s="178">
        <f t="shared" si="7"/>
        <v>268.5</v>
      </c>
      <c r="L13" s="177" t="str">
        <f t="shared" si="2"/>
        <v>_O3 =</v>
      </c>
      <c r="M13" s="179">
        <f t="shared" si="8"/>
        <v>268.5</v>
      </c>
      <c r="O13" s="230">
        <v>5</v>
      </c>
      <c r="P13" s="258" t="str">
        <f t="shared" si="3"/>
        <v>_O1 =</v>
      </c>
      <c r="Q13" s="259">
        <v>3</v>
      </c>
      <c r="R13" s="260">
        <v>-4</v>
      </c>
      <c r="S13" s="261" t="str">
        <f t="shared" si="4"/>
        <v>_I2 =</v>
      </c>
      <c r="T13" s="259">
        <v>3</v>
      </c>
      <c r="U13" s="262">
        <v>0</v>
      </c>
      <c r="V13" s="261" t="str">
        <f t="shared" si="5"/>
        <v>_O3 =</v>
      </c>
      <c r="W13" s="259">
        <v>3</v>
      </c>
      <c r="X13" s="263">
        <v>5</v>
      </c>
      <c r="Z13" s="315">
        <v>313.5</v>
      </c>
      <c r="AA13" s="295">
        <v>9</v>
      </c>
      <c r="AB13" s="313">
        <v>4</v>
      </c>
    </row>
    <row r="14" spans="1:28" ht="12.75">
      <c r="A14" s="140">
        <f>'Tape lengths'!D15</f>
        <v>5</v>
      </c>
      <c r="B14" s="6" t="str">
        <f>'Tape lengths'!F15</f>
        <v>_I1/_02/_M2</v>
      </c>
      <c r="C14" s="156" t="str">
        <f t="shared" si="9"/>
        <v>223/223/223</v>
      </c>
      <c r="D14" s="6">
        <v>25</v>
      </c>
      <c r="E14" s="6">
        <v>62.5</v>
      </c>
      <c r="F14" s="30">
        <v>2</v>
      </c>
      <c r="G14" s="305"/>
      <c r="H14" s="175" t="str">
        <f t="shared" si="0"/>
        <v>_I1 =</v>
      </c>
      <c r="I14" s="176">
        <f t="shared" si="6"/>
        <v>312.5</v>
      </c>
      <c r="J14" s="175" t="str">
        <f t="shared" si="1"/>
        <v>_02 =</v>
      </c>
      <c r="K14" s="176">
        <f t="shared" si="7"/>
        <v>312.5</v>
      </c>
      <c r="L14" s="175" t="str">
        <f t="shared" si="2"/>
        <v>_M2 =</v>
      </c>
      <c r="M14" s="180">
        <f t="shared" si="8"/>
        <v>312.5</v>
      </c>
      <c r="O14" s="230">
        <v>5</v>
      </c>
      <c r="P14" s="216" t="str">
        <f t="shared" si="3"/>
        <v>_I1 =</v>
      </c>
      <c r="Q14" s="217">
        <v>3</v>
      </c>
      <c r="R14" s="218">
        <v>-5</v>
      </c>
      <c r="S14" s="219" t="str">
        <f t="shared" si="4"/>
        <v>_02 =</v>
      </c>
      <c r="T14" s="217">
        <v>3</v>
      </c>
      <c r="U14" s="220">
        <v>-1</v>
      </c>
      <c r="V14" s="219" t="str">
        <f t="shared" si="5"/>
        <v>_M2 =</v>
      </c>
      <c r="W14" s="217">
        <v>3</v>
      </c>
      <c r="X14" s="221">
        <v>6</v>
      </c>
      <c r="Z14" s="314">
        <v>322.5</v>
      </c>
      <c r="AA14" s="295" t="s">
        <v>213</v>
      </c>
      <c r="AB14" s="313"/>
    </row>
    <row r="15" spans="1:28" ht="13.5" thickBot="1">
      <c r="A15" s="140">
        <f>'Tape lengths'!D16</f>
        <v>5</v>
      </c>
      <c r="B15" s="6" t="str">
        <f>'Tape lengths'!F16</f>
        <v>_M1/___/___</v>
      </c>
      <c r="C15" s="156" t="str">
        <f t="shared" si="9"/>
        <v>223/223/223</v>
      </c>
      <c r="D15" s="6">
        <v>25</v>
      </c>
      <c r="E15" s="6">
        <v>106.5</v>
      </c>
      <c r="F15" s="30">
        <v>2</v>
      </c>
      <c r="G15" s="305"/>
      <c r="H15" s="175" t="str">
        <f t="shared" si="0"/>
        <v>_M1 =</v>
      </c>
      <c r="I15" s="176">
        <f t="shared" si="6"/>
        <v>356.5</v>
      </c>
      <c r="J15" s="175" t="str">
        <f t="shared" si="1"/>
        <v>None</v>
      </c>
      <c r="K15" s="176" t="str">
        <f t="shared" si="7"/>
        <v>None</v>
      </c>
      <c r="L15" s="175" t="str">
        <f t="shared" si="2"/>
        <v>None</v>
      </c>
      <c r="M15" s="180" t="str">
        <f t="shared" si="8"/>
        <v>None</v>
      </c>
      <c r="O15" s="237">
        <v>5</v>
      </c>
      <c r="P15" s="264" t="str">
        <f t="shared" si="3"/>
        <v>_M1 =</v>
      </c>
      <c r="Q15" s="256">
        <v>3</v>
      </c>
      <c r="R15" s="265">
        <v>-6</v>
      </c>
      <c r="S15" s="255">
        <f t="shared" si="4"/>
      </c>
      <c r="T15" s="256"/>
      <c r="U15" s="257"/>
      <c r="V15" s="255">
        <f t="shared" si="5"/>
      </c>
      <c r="W15" s="256"/>
      <c r="X15" s="266"/>
      <c r="Z15" s="315">
        <v>323</v>
      </c>
      <c r="AA15" s="295">
        <v>10</v>
      </c>
      <c r="AB15" s="313">
        <v>5</v>
      </c>
    </row>
    <row r="16" spans="1:28" ht="12.75">
      <c r="A16" s="145">
        <f>'Tape lengths'!D17</f>
        <v>6</v>
      </c>
      <c r="B16" s="3" t="str">
        <f>'Tape lengths'!F17</f>
        <v>_O1/_I2/_O3</v>
      </c>
      <c r="C16" s="157" t="s">
        <v>205</v>
      </c>
      <c r="D16" s="3">
        <v>25</v>
      </c>
      <c r="E16" s="3">
        <v>18.5</v>
      </c>
      <c r="F16" s="147">
        <v>2</v>
      </c>
      <c r="G16" s="304"/>
      <c r="H16" s="177" t="str">
        <f t="shared" si="0"/>
        <v>_O1 =</v>
      </c>
      <c r="I16" s="178">
        <f t="shared" si="6"/>
        <v>278.5</v>
      </c>
      <c r="J16" s="177" t="str">
        <f t="shared" si="1"/>
        <v>_I2 =</v>
      </c>
      <c r="K16" s="178">
        <f t="shared" si="7"/>
        <v>278.5</v>
      </c>
      <c r="L16" s="177" t="str">
        <f t="shared" si="2"/>
        <v>_O3 =</v>
      </c>
      <c r="M16" s="179">
        <f t="shared" si="8"/>
        <v>278.5</v>
      </c>
      <c r="O16" s="230">
        <v>6</v>
      </c>
      <c r="P16" s="258" t="str">
        <f t="shared" si="3"/>
        <v>_O1 =</v>
      </c>
      <c r="Q16" s="259">
        <v>3</v>
      </c>
      <c r="R16" s="260">
        <v>-7</v>
      </c>
      <c r="S16" s="261" t="str">
        <f t="shared" si="4"/>
        <v>_I2 =</v>
      </c>
      <c r="T16" s="259">
        <v>3</v>
      </c>
      <c r="U16" s="262">
        <v>1</v>
      </c>
      <c r="V16" s="261" t="str">
        <f t="shared" si="5"/>
        <v>_O3 =</v>
      </c>
      <c r="W16" s="259">
        <v>3</v>
      </c>
      <c r="X16" s="263">
        <v>7</v>
      </c>
      <c r="Z16" s="312">
        <v>328.5</v>
      </c>
      <c r="AA16" s="295">
        <v>11</v>
      </c>
      <c r="AB16" s="313">
        <v>1</v>
      </c>
    </row>
    <row r="17" spans="1:28" ht="12.75">
      <c r="A17" s="140">
        <f>'Tape lengths'!D18</f>
        <v>6</v>
      </c>
      <c r="B17" s="6" t="str">
        <f>'Tape lengths'!F18</f>
        <v>_I1/_02/_M2</v>
      </c>
      <c r="C17" s="156" t="str">
        <f t="shared" si="9"/>
        <v>233/233/233</v>
      </c>
      <c r="D17" s="6">
        <v>25</v>
      </c>
      <c r="E17" s="6">
        <v>62.5</v>
      </c>
      <c r="F17" s="30">
        <v>2</v>
      </c>
      <c r="G17" s="305"/>
      <c r="H17" s="175" t="str">
        <f t="shared" si="0"/>
        <v>_I1 =</v>
      </c>
      <c r="I17" s="176">
        <f t="shared" si="6"/>
        <v>322.5</v>
      </c>
      <c r="J17" s="175" t="str">
        <f t="shared" si="1"/>
        <v>_02 =</v>
      </c>
      <c r="K17" s="176">
        <f t="shared" si="7"/>
        <v>322.5</v>
      </c>
      <c r="L17" s="175" t="str">
        <f t="shared" si="2"/>
        <v>_M2 =</v>
      </c>
      <c r="M17" s="180">
        <f t="shared" si="8"/>
        <v>322.5</v>
      </c>
      <c r="O17" s="230">
        <v>6</v>
      </c>
      <c r="P17" s="216" t="str">
        <f t="shared" si="3"/>
        <v>_I1 =</v>
      </c>
      <c r="Q17" s="217">
        <v>3</v>
      </c>
      <c r="R17" s="218">
        <v>-8</v>
      </c>
      <c r="S17" s="219" t="str">
        <f t="shared" si="4"/>
        <v>_02 =</v>
      </c>
      <c r="T17" s="217">
        <v>3</v>
      </c>
      <c r="U17" s="220">
        <v>-2</v>
      </c>
      <c r="V17" s="219" t="str">
        <f t="shared" si="5"/>
        <v>_M2 =</v>
      </c>
      <c r="W17" s="217">
        <v>3</v>
      </c>
      <c r="X17" s="221">
        <v>8</v>
      </c>
      <c r="Z17" s="314">
        <v>334.5</v>
      </c>
      <c r="AA17" s="295" t="s">
        <v>213</v>
      </c>
      <c r="AB17" s="313"/>
    </row>
    <row r="18" spans="1:28" ht="13.5" thickBot="1">
      <c r="A18" s="140">
        <f>'Tape lengths'!D19</f>
        <v>6</v>
      </c>
      <c r="B18" s="6" t="str">
        <f>'Tape lengths'!F19</f>
        <v>_M1/___/___</v>
      </c>
      <c r="C18" s="156" t="s">
        <v>207</v>
      </c>
      <c r="D18" s="6">
        <v>25</v>
      </c>
      <c r="E18" s="6">
        <v>106.5</v>
      </c>
      <c r="F18" s="30">
        <v>2</v>
      </c>
      <c r="G18" s="305"/>
      <c r="H18" s="181" t="str">
        <f t="shared" si="0"/>
        <v>_M1 =</v>
      </c>
      <c r="I18" s="183">
        <f t="shared" si="6"/>
        <v>366.5</v>
      </c>
      <c r="J18" s="175" t="str">
        <f t="shared" si="1"/>
        <v>None</v>
      </c>
      <c r="K18" s="176" t="str">
        <f t="shared" si="7"/>
        <v>None</v>
      </c>
      <c r="L18" s="181" t="str">
        <f t="shared" si="2"/>
        <v>None</v>
      </c>
      <c r="M18" s="182" t="str">
        <f t="shared" si="8"/>
        <v>None</v>
      </c>
      <c r="O18" s="237">
        <v>6</v>
      </c>
      <c r="P18" s="267" t="str">
        <f t="shared" si="3"/>
        <v>_M1 =</v>
      </c>
      <c r="Q18" s="268">
        <v>4</v>
      </c>
      <c r="R18" s="269">
        <v>-3</v>
      </c>
      <c r="S18" s="255">
        <f t="shared" si="4"/>
      </c>
      <c r="T18" s="256"/>
      <c r="U18" s="257"/>
      <c r="V18" s="270">
        <f t="shared" si="5"/>
      </c>
      <c r="W18" s="268"/>
      <c r="X18" s="271"/>
      <c r="Z18" s="315">
        <v>337.5</v>
      </c>
      <c r="AA18" s="295">
        <v>12</v>
      </c>
      <c r="AB18" s="313">
        <v>4</v>
      </c>
    </row>
    <row r="19" spans="1:28" ht="12.75">
      <c r="A19" s="145">
        <f>'Tape lengths'!D20</f>
        <v>7</v>
      </c>
      <c r="B19" s="3" t="str">
        <f>'Tape lengths'!F20</f>
        <v>_O1/___/_O3</v>
      </c>
      <c r="C19" s="157" t="s">
        <v>208</v>
      </c>
      <c r="D19" s="3">
        <v>25</v>
      </c>
      <c r="E19" s="3">
        <v>18.5</v>
      </c>
      <c r="F19" s="147">
        <v>2</v>
      </c>
      <c r="G19" s="304"/>
      <c r="H19" s="184" t="str">
        <f t="shared" si="0"/>
        <v>_O1 =</v>
      </c>
      <c r="I19" s="185">
        <f t="shared" si="6"/>
        <v>290.5</v>
      </c>
      <c r="J19" s="184" t="str">
        <f t="shared" si="1"/>
        <v>None</v>
      </c>
      <c r="K19" s="185" t="str">
        <f t="shared" si="7"/>
        <v>None</v>
      </c>
      <c r="L19" s="184" t="str">
        <f t="shared" si="2"/>
        <v>_O3 =</v>
      </c>
      <c r="M19" s="186">
        <f t="shared" si="8"/>
        <v>290.5</v>
      </c>
      <c r="O19" s="230">
        <v>7</v>
      </c>
      <c r="P19" s="272" t="str">
        <f t="shared" si="3"/>
        <v>_O1 =</v>
      </c>
      <c r="Q19" s="151">
        <v>4</v>
      </c>
      <c r="R19" s="273">
        <v>-4</v>
      </c>
      <c r="S19" s="274">
        <f t="shared" si="4"/>
      </c>
      <c r="T19" s="151"/>
      <c r="U19" s="275"/>
      <c r="V19" s="274" t="str">
        <f t="shared" si="5"/>
        <v>_O3 =</v>
      </c>
      <c r="W19" s="151">
        <v>4</v>
      </c>
      <c r="X19" s="276">
        <v>4</v>
      </c>
      <c r="Z19" s="314">
        <v>345.5</v>
      </c>
      <c r="AA19" s="295" t="s">
        <v>213</v>
      </c>
      <c r="AB19" s="313"/>
    </row>
    <row r="20" spans="1:28" ht="13.5" thickBot="1">
      <c r="A20" s="140">
        <f>'Tape lengths'!D21</f>
        <v>7</v>
      </c>
      <c r="B20" s="6" t="str">
        <f>'Tape lengths'!F21</f>
        <v>_M1/_O2/_M2</v>
      </c>
      <c r="C20" s="156" t="str">
        <f>C19</f>
        <v>245/245/245</v>
      </c>
      <c r="D20" s="6">
        <v>25</v>
      </c>
      <c r="E20" s="6">
        <v>62.5</v>
      </c>
      <c r="F20" s="30">
        <v>2</v>
      </c>
      <c r="G20" s="305"/>
      <c r="H20" s="181" t="str">
        <f t="shared" si="0"/>
        <v>_M1 =</v>
      </c>
      <c r="I20" s="183">
        <f t="shared" si="6"/>
        <v>334.5</v>
      </c>
      <c r="J20" s="181" t="str">
        <f t="shared" si="1"/>
        <v>_O2 =</v>
      </c>
      <c r="K20" s="183">
        <f t="shared" si="7"/>
        <v>334.5</v>
      </c>
      <c r="L20" s="181" t="str">
        <f t="shared" si="2"/>
        <v>_M2 =</v>
      </c>
      <c r="M20" s="182">
        <f t="shared" si="8"/>
        <v>334.5</v>
      </c>
      <c r="O20" s="237">
        <v>7</v>
      </c>
      <c r="P20" s="267" t="str">
        <f t="shared" si="3"/>
        <v>_M1 =</v>
      </c>
      <c r="Q20" s="268">
        <v>4</v>
      </c>
      <c r="R20" s="269">
        <v>-5</v>
      </c>
      <c r="S20" s="270" t="str">
        <f t="shared" si="4"/>
        <v>_O2 =</v>
      </c>
      <c r="T20" s="268">
        <v>4</v>
      </c>
      <c r="U20" s="277">
        <v>0</v>
      </c>
      <c r="V20" s="270" t="str">
        <f t="shared" si="5"/>
        <v>_M2 =</v>
      </c>
      <c r="W20" s="268">
        <v>4</v>
      </c>
      <c r="X20" s="271">
        <v>5</v>
      </c>
      <c r="Z20" s="315">
        <v>348.5</v>
      </c>
      <c r="AA20" s="295">
        <v>13</v>
      </c>
      <c r="AB20" s="313">
        <v>4</v>
      </c>
    </row>
    <row r="21" spans="1:28" ht="12.75">
      <c r="A21" s="145">
        <f>'Tape lengths'!D22</f>
        <v>8</v>
      </c>
      <c r="B21" s="3" t="str">
        <f>'Tape lengths'!F22</f>
        <v>_O1/___/_O3</v>
      </c>
      <c r="C21" s="157" t="s">
        <v>209</v>
      </c>
      <c r="D21" s="3">
        <v>25</v>
      </c>
      <c r="E21" s="3">
        <v>18.5</v>
      </c>
      <c r="F21" s="147">
        <v>2</v>
      </c>
      <c r="G21" s="304"/>
      <c r="H21" s="187" t="str">
        <f t="shared" si="0"/>
        <v>_O1 =</v>
      </c>
      <c r="I21" s="188">
        <f t="shared" si="6"/>
        <v>301.5</v>
      </c>
      <c r="J21" s="187" t="str">
        <f t="shared" si="1"/>
        <v>None</v>
      </c>
      <c r="K21" s="188" t="str">
        <f t="shared" si="7"/>
        <v>None</v>
      </c>
      <c r="L21" s="187" t="str">
        <f t="shared" si="2"/>
        <v>_O3 =</v>
      </c>
      <c r="M21" s="189">
        <f t="shared" si="8"/>
        <v>301.5</v>
      </c>
      <c r="O21" s="230">
        <v>8</v>
      </c>
      <c r="P21" s="282" t="str">
        <f t="shared" si="3"/>
        <v>_O1 =</v>
      </c>
      <c r="Q21" s="150">
        <v>4</v>
      </c>
      <c r="R21" s="283">
        <v>-6</v>
      </c>
      <c r="S21" s="284">
        <f t="shared" si="4"/>
      </c>
      <c r="T21" s="150"/>
      <c r="U21" s="285"/>
      <c r="V21" s="284" t="str">
        <f t="shared" si="5"/>
        <v>_O3 =</v>
      </c>
      <c r="W21" s="150">
        <v>4</v>
      </c>
      <c r="X21" s="286">
        <v>6</v>
      </c>
      <c r="Z21" s="314">
        <v>356.5</v>
      </c>
      <c r="AA21" s="295" t="s">
        <v>213</v>
      </c>
      <c r="AB21" s="313"/>
    </row>
    <row r="22" spans="1:28" ht="13.5" thickBot="1">
      <c r="A22" s="143">
        <f>'Tape lengths'!D23</f>
        <v>8</v>
      </c>
      <c r="B22" s="144" t="str">
        <f>'Tape lengths'!F23</f>
        <v>_M1/_O2/_M2</v>
      </c>
      <c r="C22" s="158" t="str">
        <f t="shared" si="9"/>
        <v>256/256/256</v>
      </c>
      <c r="D22" s="144">
        <v>25</v>
      </c>
      <c r="E22" s="6">
        <v>62.5</v>
      </c>
      <c r="F22" s="148">
        <v>2</v>
      </c>
      <c r="G22" s="306"/>
      <c r="H22" s="190" t="str">
        <f t="shared" si="0"/>
        <v>_M1 =</v>
      </c>
      <c r="I22" s="191">
        <f t="shared" si="6"/>
        <v>345.5</v>
      </c>
      <c r="J22" s="190" t="str">
        <f t="shared" si="1"/>
        <v>_O2 =</v>
      </c>
      <c r="K22" s="191">
        <f t="shared" si="7"/>
        <v>345.5</v>
      </c>
      <c r="L22" s="190" t="str">
        <f t="shared" si="2"/>
        <v>_M2 =</v>
      </c>
      <c r="M22" s="192">
        <f t="shared" si="8"/>
        <v>345.5</v>
      </c>
      <c r="O22" s="237">
        <v>8</v>
      </c>
      <c r="P22" s="287" t="str">
        <f t="shared" si="3"/>
        <v>_M1 =</v>
      </c>
      <c r="Q22" s="288">
        <v>4</v>
      </c>
      <c r="R22" s="289">
        <v>-7</v>
      </c>
      <c r="S22" s="290" t="str">
        <f t="shared" si="4"/>
        <v>_O2 =</v>
      </c>
      <c r="T22" s="288">
        <v>4</v>
      </c>
      <c r="U22" s="291">
        <v>-1</v>
      </c>
      <c r="V22" s="290" t="str">
        <f t="shared" si="5"/>
        <v>_M2 =</v>
      </c>
      <c r="W22" s="288">
        <v>4</v>
      </c>
      <c r="X22" s="292">
        <v>7</v>
      </c>
      <c r="Z22" s="315">
        <v>357.5</v>
      </c>
      <c r="AA22" s="295">
        <v>14</v>
      </c>
      <c r="AB22" s="313">
        <v>4</v>
      </c>
    </row>
    <row r="23" spans="1:28" ht="12.75">
      <c r="A23" s="145">
        <f>'Tape lengths'!D24</f>
        <v>9</v>
      </c>
      <c r="B23" s="3" t="str">
        <f>'Tape lengths'!F24</f>
        <v>___/O12/___</v>
      </c>
      <c r="C23" s="157" t="s">
        <v>210</v>
      </c>
      <c r="D23" s="3">
        <v>25</v>
      </c>
      <c r="E23" s="3">
        <v>18.5</v>
      </c>
      <c r="F23" s="147">
        <v>2</v>
      </c>
      <c r="G23" s="304"/>
      <c r="H23" s="193" t="str">
        <f t="shared" si="0"/>
        <v>None</v>
      </c>
      <c r="I23" s="194" t="str">
        <f t="shared" si="6"/>
        <v>None</v>
      </c>
      <c r="J23" s="193" t="str">
        <f t="shared" si="1"/>
        <v>O12 =</v>
      </c>
      <c r="K23" s="194">
        <f t="shared" si="7"/>
        <v>313.5</v>
      </c>
      <c r="L23" s="193" t="str">
        <f t="shared" si="2"/>
        <v>None</v>
      </c>
      <c r="M23" s="195" t="str">
        <f t="shared" si="8"/>
        <v>None</v>
      </c>
      <c r="O23" s="230">
        <v>9</v>
      </c>
      <c r="P23" s="278">
        <f t="shared" si="3"/>
      </c>
      <c r="Q23" s="279"/>
      <c r="R23" s="280"/>
      <c r="S23" s="281" t="str">
        <f t="shared" si="4"/>
        <v>O12 =</v>
      </c>
      <c r="T23" s="279">
        <v>4</v>
      </c>
      <c r="U23" s="280">
        <v>1</v>
      </c>
      <c r="V23" s="281">
        <f t="shared" si="5"/>
      </c>
      <c r="W23" s="279"/>
      <c r="X23" s="294"/>
      <c r="Z23" s="314">
        <v>366.5</v>
      </c>
      <c r="AA23" s="295" t="s">
        <v>213</v>
      </c>
      <c r="AB23" s="313"/>
    </row>
    <row r="24" spans="1:28" ht="13.5" thickBot="1">
      <c r="A24" s="141">
        <f>'Tape lengths'!D25</f>
        <v>9</v>
      </c>
      <c r="B24" s="142" t="str">
        <f>'Tape lengths'!F25</f>
        <v>O13/O11/O10</v>
      </c>
      <c r="C24" s="159" t="str">
        <f t="shared" si="9"/>
        <v>268/268/268</v>
      </c>
      <c r="D24" s="142">
        <v>25</v>
      </c>
      <c r="E24" s="149">
        <v>62.5</v>
      </c>
      <c r="F24" s="149">
        <v>2</v>
      </c>
      <c r="G24" s="307"/>
      <c r="H24" s="196" t="str">
        <f t="shared" si="0"/>
        <v>O13 =</v>
      </c>
      <c r="I24" s="197">
        <f t="shared" si="6"/>
        <v>357.5</v>
      </c>
      <c r="J24" s="196" t="str">
        <f t="shared" si="1"/>
        <v>O11 =</v>
      </c>
      <c r="K24" s="197">
        <f t="shared" si="7"/>
        <v>357.5</v>
      </c>
      <c r="L24" s="196" t="str">
        <f t="shared" si="2"/>
        <v>O10 =</v>
      </c>
      <c r="M24" s="198">
        <f t="shared" si="8"/>
        <v>357.5</v>
      </c>
      <c r="O24" s="231">
        <v>9</v>
      </c>
      <c r="P24" s="228" t="str">
        <f t="shared" si="3"/>
        <v>O13 =</v>
      </c>
      <c r="Q24" s="222">
        <v>4</v>
      </c>
      <c r="R24" s="223">
        <v>-8</v>
      </c>
      <c r="S24" s="224" t="str">
        <f t="shared" si="4"/>
        <v>O11 =</v>
      </c>
      <c r="T24" s="222">
        <v>4</v>
      </c>
      <c r="U24" s="225">
        <v>2</v>
      </c>
      <c r="V24" s="224" t="str">
        <f t="shared" si="5"/>
        <v>O10 =</v>
      </c>
      <c r="W24" s="222">
        <v>4</v>
      </c>
      <c r="X24" s="293">
        <v>8</v>
      </c>
      <c r="Z24" s="319">
        <v>367</v>
      </c>
      <c r="AA24" s="295" t="s">
        <v>213</v>
      </c>
      <c r="AB24" s="313"/>
    </row>
    <row r="25" spans="6:28" ht="13.5" thickTop="1">
      <c r="F25" t="s">
        <v>185</v>
      </c>
      <c r="H25" s="135" t="s">
        <v>186</v>
      </c>
      <c r="I25" s="135"/>
      <c r="J25" s="131"/>
      <c r="K25" s="135"/>
      <c r="L25" s="131"/>
      <c r="M25" s="135"/>
      <c r="P25" s="135" t="s">
        <v>190</v>
      </c>
      <c r="Z25" s="315">
        <v>368.5</v>
      </c>
      <c r="AA25" s="308">
        <v>15</v>
      </c>
      <c r="AB25" s="313">
        <v>4</v>
      </c>
    </row>
    <row r="26" spans="8:28" ht="13.5" thickBot="1">
      <c r="H26" s="135" t="s">
        <v>187</v>
      </c>
      <c r="I26" s="135"/>
      <c r="J26" s="131"/>
      <c r="K26" s="135"/>
      <c r="L26" s="131"/>
      <c r="M26" s="135"/>
      <c r="P26" s="135" t="s">
        <v>191</v>
      </c>
      <c r="Z26" s="316"/>
      <c r="AA26" s="317" t="s">
        <v>214</v>
      </c>
      <c r="AB26" s="318">
        <f>SUM(AB2:AB25)</f>
        <v>54</v>
      </c>
    </row>
    <row r="27" spans="8:13" ht="12.75">
      <c r="H27" s="131"/>
      <c r="I27" s="135"/>
      <c r="J27" s="131"/>
      <c r="K27" s="135"/>
      <c r="L27" s="131"/>
      <c r="M27" s="135"/>
    </row>
    <row r="28" spans="8:13" ht="13.5" thickBot="1">
      <c r="H28" s="131"/>
      <c r="I28" s="135"/>
      <c r="J28" s="131"/>
      <c r="K28" s="135"/>
      <c r="L28" s="131"/>
      <c r="M28" s="135"/>
    </row>
    <row r="29" spans="1:28" s="134" customFormat="1" ht="103.5" thickBot="1" thickTop="1">
      <c r="A29" s="136" t="str">
        <f>A1</f>
        <v>Disc</v>
      </c>
      <c r="B29" s="137" t="str">
        <f>B1</f>
        <v>Modules</v>
      </c>
      <c r="C29" s="154" t="str">
        <f>C1</f>
        <v>Length from Clamp to PCB (mm, from CAD)</v>
      </c>
      <c r="D29" s="137" t="str">
        <f aca="true" t="shared" si="10" ref="D29:M29">D1</f>
        <v>Excess for short-connection (mm)</v>
      </c>
      <c r="E29" s="137" t="str">
        <f t="shared" si="10"/>
        <v>Length from edge of PCB to connector (mm)</v>
      </c>
      <c r="F29" s="137" t="str">
        <f t="shared" si="10"/>
        <v>Phi adjustment</v>
      </c>
      <c r="G29" s="137" t="str">
        <f t="shared" si="10"/>
        <v>Adjustment for 2-way PCB position in 3-way tray (D1 only)</v>
      </c>
      <c r="H29" s="137" t="str">
        <f t="shared" si="10"/>
        <v>Module @ LH PCB</v>
      </c>
      <c r="I29" s="137" t="str">
        <f t="shared" si="10"/>
        <v>Length (mm)</v>
      </c>
      <c r="J29" s="137" t="str">
        <f t="shared" si="10"/>
        <v>Module @ Middle PCB</v>
      </c>
      <c r="K29" s="137" t="str">
        <f t="shared" si="10"/>
        <v>Length (mm)</v>
      </c>
      <c r="L29" s="137" t="str">
        <f t="shared" si="10"/>
        <v>Module @ RH PCB</v>
      </c>
      <c r="M29" s="138" t="str">
        <f t="shared" si="10"/>
        <v>Length (mm)</v>
      </c>
      <c r="O29" s="229" t="s">
        <v>61</v>
      </c>
      <c r="P29" s="226" t="str">
        <f>P1</f>
        <v>Module</v>
      </c>
      <c r="Q29" s="199" t="str">
        <f aca="true" t="shared" si="11" ref="Q29:X29">Q1</f>
        <v>Row (1 = low Z, 4 = high Z)</v>
      </c>
      <c r="R29" s="201" t="str">
        <f t="shared" si="11"/>
        <v>Suggested clamp position (for LH PCB =-8 to  -3, all but blue = -7 to -3)</v>
      </c>
      <c r="S29" s="202" t="str">
        <f t="shared" si="11"/>
        <v>Module</v>
      </c>
      <c r="T29" s="199" t="str">
        <f t="shared" si="11"/>
        <v>Row (1 = low Z, 4 = high Z)</v>
      </c>
      <c r="U29" s="203" t="str">
        <f t="shared" si="11"/>
        <v>Suggested clamp position (for middle PCB =-3 through 0 to 3)</v>
      </c>
      <c r="V29" s="202" t="str">
        <f t="shared" si="11"/>
        <v>Module</v>
      </c>
      <c r="W29" s="199" t="str">
        <f t="shared" si="11"/>
        <v>Row (1 = low Z, 4 = high Z)</v>
      </c>
      <c r="X29" s="200" t="str">
        <f t="shared" si="11"/>
        <v>Suggested clamp position (for RH PCB = 3 to 8, all but blue = 3 to 7)</v>
      </c>
      <c r="Z29" s="309" t="s">
        <v>211</v>
      </c>
      <c r="AA29" s="310" t="s">
        <v>212</v>
      </c>
      <c r="AB29" s="311" t="s">
        <v>199</v>
      </c>
    </row>
    <row r="30" spans="1:28" ht="13.5" thickTop="1">
      <c r="A30" s="125">
        <f>'Tape lengths'!D31</f>
        <v>1</v>
      </c>
      <c r="B30" s="139" t="str">
        <f>'Tape lengths'!F31</f>
        <v>_O4/_O5/_O6</v>
      </c>
      <c r="C30" s="155" t="str">
        <f>C2</f>
        <v>190/190/190</v>
      </c>
      <c r="D30" s="139">
        <v>25</v>
      </c>
      <c r="E30" s="139">
        <v>62.5</v>
      </c>
      <c r="F30" s="146">
        <v>2</v>
      </c>
      <c r="G30" s="302">
        <v>43.5</v>
      </c>
      <c r="H30" s="160" t="str">
        <f>IF((MID(B30,1,3))="___","None",(MID(B30,1,3))&amp;" =")</f>
        <v>_O4 =</v>
      </c>
      <c r="I30" s="161">
        <f>IF((MID(B30,1,3))="___","None",(MID(C30,1,3))+D30+E30+F30+G30)</f>
        <v>323</v>
      </c>
      <c r="J30" s="160" t="str">
        <f>IF((MID(B30,5,3))="___","None",(MID(B30,5,3))&amp;" =")</f>
        <v>_O5 =</v>
      </c>
      <c r="K30" s="161">
        <f>IF((MID(B30,5,3))="___","None",(MID(C30,5,3))+D30+E30+F30+G30)</f>
        <v>323</v>
      </c>
      <c r="L30" s="160" t="str">
        <f>IF((MID(B30,9,3))="___","None",(MID(B30,9,3))&amp;" =")</f>
        <v>_O6 =</v>
      </c>
      <c r="M30" s="162">
        <f>IF((MID(B30,9,3))="___","None",(MID(C30,9,3))+D30+E30+F30+G30)</f>
        <v>323</v>
      </c>
      <c r="O30" s="230">
        <v>1</v>
      </c>
      <c r="P30" s="227" t="str">
        <f aca="true" t="shared" si="12" ref="P30:P52">IF((MID(B30,1,3))="___","",(MID(B30,1,3))&amp;" =")</f>
        <v>_O4 =</v>
      </c>
      <c r="Q30" s="206">
        <v>1</v>
      </c>
      <c r="R30" s="207">
        <v>-3</v>
      </c>
      <c r="S30" s="208" t="str">
        <f aca="true" t="shared" si="13" ref="S30:S52">IF((MID(B30,5,3))="___","",(MID(B30,5,3))&amp;" =")</f>
        <v>_O5 =</v>
      </c>
      <c r="T30" s="206">
        <v>1</v>
      </c>
      <c r="U30" s="209">
        <v>0</v>
      </c>
      <c r="V30" s="208" t="str">
        <f aca="true" t="shared" si="14" ref="V30:V52">IF((MID(B30,9,3))="___","",(MID(B30,9,3))&amp;" =")</f>
        <v>_O6 =</v>
      </c>
      <c r="W30" s="206">
        <v>1</v>
      </c>
      <c r="X30" s="210">
        <v>3</v>
      </c>
      <c r="Z30" s="312">
        <v>240.5</v>
      </c>
      <c r="AA30" s="295">
        <v>1</v>
      </c>
      <c r="AB30" s="313">
        <v>3</v>
      </c>
    </row>
    <row r="31" spans="1:28" ht="13.5" thickBot="1">
      <c r="A31" s="140">
        <f>'Tape lengths'!D32</f>
        <v>1</v>
      </c>
      <c r="B31" s="6" t="str">
        <f>'Tape lengths'!F32</f>
        <v>_M3/_M4/_M5</v>
      </c>
      <c r="C31" s="156" t="str">
        <f aca="true" t="shared" si="15" ref="C31:C52">C3</f>
        <v>190/190/190</v>
      </c>
      <c r="D31" s="6">
        <v>25</v>
      </c>
      <c r="E31" s="6">
        <v>106.5</v>
      </c>
      <c r="F31" s="30">
        <v>2</v>
      </c>
      <c r="G31" s="303">
        <v>43.5</v>
      </c>
      <c r="H31" s="163" t="str">
        <f>IF((MID(B31,1,3))="___","None",(MID(B31,1,3))&amp;" =")</f>
        <v>_M3 =</v>
      </c>
      <c r="I31" s="164">
        <f>IF((MID(B31,1,3))="___","None",(MID(C31,1,3))+D31+E31+F31+G31)</f>
        <v>367</v>
      </c>
      <c r="J31" s="163" t="str">
        <f>IF((MID(B31,5,3))="___","None",(MID(B31,5,3))&amp;" =")</f>
        <v>_M4 =</v>
      </c>
      <c r="K31" s="164">
        <f>IF((MID(B31,5,3))="___","None",(MID(C31,5,3))+D31+E31+F31+G31)</f>
        <v>367</v>
      </c>
      <c r="L31" s="163" t="str">
        <f>IF((MID(B31,9,3))="___","None",(MID(B31,9,3))&amp;" =")</f>
        <v>_M5 =</v>
      </c>
      <c r="M31" s="165">
        <f>IF((MID(B31,9,3))="___","None",(MID(C31,9,3))+D31+E31+F31+G31)</f>
        <v>367</v>
      </c>
      <c r="O31" s="237">
        <v>1</v>
      </c>
      <c r="P31" s="238" t="str">
        <f t="shared" si="12"/>
        <v>_M3 =</v>
      </c>
      <c r="Q31" s="239">
        <v>1</v>
      </c>
      <c r="R31" s="240">
        <v>-4</v>
      </c>
      <c r="S31" s="241" t="str">
        <f t="shared" si="13"/>
        <v>_M4 =</v>
      </c>
      <c r="T31" s="239">
        <v>1</v>
      </c>
      <c r="U31" s="242">
        <v>-1</v>
      </c>
      <c r="V31" s="241" t="str">
        <f t="shared" si="14"/>
        <v>_M5 =</v>
      </c>
      <c r="W31" s="239">
        <v>1</v>
      </c>
      <c r="X31" s="243">
        <v>4</v>
      </c>
      <c r="Z31" s="312">
        <v>249.5</v>
      </c>
      <c r="AA31" s="295">
        <v>2</v>
      </c>
      <c r="AB31" s="313">
        <v>3</v>
      </c>
    </row>
    <row r="32" spans="1:28" ht="12.75">
      <c r="A32" s="145">
        <f>'Tape lengths'!D33</f>
        <v>2</v>
      </c>
      <c r="B32" s="3" t="str">
        <f>'Tape lengths'!F33</f>
        <v>_O4/_I4/_I5</v>
      </c>
      <c r="C32" s="157" t="str">
        <f t="shared" si="15"/>
        <v>195/195/195</v>
      </c>
      <c r="D32" s="3">
        <v>25</v>
      </c>
      <c r="E32" s="3">
        <v>18.5</v>
      </c>
      <c r="F32" s="147">
        <v>2</v>
      </c>
      <c r="G32" s="304"/>
      <c r="H32" s="166" t="str">
        <f aca="true" t="shared" si="16" ref="H32:H52">IF((MID(B32,1,3))="___","None",(MID(B32,1,3))&amp;" =")</f>
        <v>_O4 =</v>
      </c>
      <c r="I32" s="167">
        <f aca="true" t="shared" si="17" ref="I32:I52">IF((MID(B32,1,3))="___","None",(MID(C32,1,3))+D32+E32+F32)</f>
        <v>240.5</v>
      </c>
      <c r="J32" s="166" t="str">
        <f aca="true" t="shared" si="18" ref="J32:J52">IF((MID(B32,5,3))="___","None",(MID(B32,5,3))&amp;" =")</f>
        <v>_I4 =</v>
      </c>
      <c r="K32" s="167">
        <f aca="true" t="shared" si="19" ref="K32:K52">IF((MID(B32,5,3))="___","None",(MID(C32,5,3))+D32+E32+F32)</f>
        <v>240.5</v>
      </c>
      <c r="L32" s="166" t="str">
        <f aca="true" t="shared" si="20" ref="L32:L52">IF((MID(B32,9,3))="___","None",(MID(B32,9,3))&amp;" =")</f>
        <v>_I5 =</v>
      </c>
      <c r="M32" s="168">
        <f aca="true" t="shared" si="21" ref="M32:M52">IF((MID(B32,9,3))="___","None",(MID(C32,9,3))+D32+E32+F32)</f>
        <v>240.5</v>
      </c>
      <c r="O32" s="232">
        <v>2</v>
      </c>
      <c r="P32" s="233" t="str">
        <f t="shared" si="12"/>
        <v>_O4 =</v>
      </c>
      <c r="Q32" s="204">
        <v>1</v>
      </c>
      <c r="R32" s="205">
        <v>-5</v>
      </c>
      <c r="S32" s="234" t="str">
        <f t="shared" si="13"/>
        <v>_I4 =</v>
      </c>
      <c r="T32" s="204">
        <v>1</v>
      </c>
      <c r="U32" s="235">
        <v>1</v>
      </c>
      <c r="V32" s="234" t="str">
        <f t="shared" si="14"/>
        <v>_I5 =</v>
      </c>
      <c r="W32" s="204">
        <v>1</v>
      </c>
      <c r="X32" s="236">
        <v>5</v>
      </c>
      <c r="Z32" s="312">
        <v>257.5</v>
      </c>
      <c r="AA32" s="295">
        <v>3</v>
      </c>
      <c r="AB32" s="313">
        <v>3</v>
      </c>
    </row>
    <row r="33" spans="1:28" ht="12.75">
      <c r="A33" s="140">
        <f>'Tape lengths'!D34</f>
        <v>2</v>
      </c>
      <c r="B33" s="6" t="str">
        <f>'Tape lengths'!F34</f>
        <v>_M3/_M4/_M5</v>
      </c>
      <c r="C33" s="156" t="str">
        <f t="shared" si="15"/>
        <v>195/195/195</v>
      </c>
      <c r="D33" s="6">
        <v>25</v>
      </c>
      <c r="E33" s="6">
        <v>62.5</v>
      </c>
      <c r="F33" s="30">
        <v>2</v>
      </c>
      <c r="G33" s="305"/>
      <c r="H33" s="163" t="str">
        <f t="shared" si="16"/>
        <v>_M3 =</v>
      </c>
      <c r="I33" s="164">
        <f t="shared" si="17"/>
        <v>284.5</v>
      </c>
      <c r="J33" s="163" t="str">
        <f t="shared" si="18"/>
        <v>_M4 =</v>
      </c>
      <c r="K33" s="164">
        <f t="shared" si="19"/>
        <v>284.5</v>
      </c>
      <c r="L33" s="163" t="str">
        <f t="shared" si="20"/>
        <v>_M5 =</v>
      </c>
      <c r="M33" s="165">
        <f t="shared" si="21"/>
        <v>284.5</v>
      </c>
      <c r="O33" s="230">
        <v>2</v>
      </c>
      <c r="P33" s="227" t="str">
        <f t="shared" si="12"/>
        <v>_M3 =</v>
      </c>
      <c r="Q33" s="206">
        <v>1</v>
      </c>
      <c r="R33" s="207">
        <v>-6</v>
      </c>
      <c r="S33" s="208" t="str">
        <f t="shared" si="13"/>
        <v>_M4 =</v>
      </c>
      <c r="T33" s="206">
        <v>1</v>
      </c>
      <c r="U33" s="209">
        <v>-2</v>
      </c>
      <c r="V33" s="208" t="str">
        <f t="shared" si="14"/>
        <v>_M5 =</v>
      </c>
      <c r="W33" s="206">
        <v>1</v>
      </c>
      <c r="X33" s="210">
        <v>6</v>
      </c>
      <c r="Z33" s="312">
        <v>268.5</v>
      </c>
      <c r="AA33" s="295">
        <v>4</v>
      </c>
      <c r="AB33" s="313">
        <v>3</v>
      </c>
    </row>
    <row r="34" spans="1:28" ht="13.5" thickBot="1">
      <c r="A34" s="140">
        <f>'Tape lengths'!D35</f>
        <v>2</v>
      </c>
      <c r="B34" s="6" t="str">
        <f>'Tape lengths'!F35</f>
        <v>_I3/_O5/_O6</v>
      </c>
      <c r="C34" s="156" t="str">
        <f t="shared" si="15"/>
        <v>195/195/195</v>
      </c>
      <c r="D34" s="6">
        <v>25</v>
      </c>
      <c r="E34" s="6">
        <v>106.5</v>
      </c>
      <c r="F34" s="30">
        <v>2</v>
      </c>
      <c r="G34" s="305"/>
      <c r="H34" s="163" t="str">
        <f t="shared" si="16"/>
        <v>_I3 =</v>
      </c>
      <c r="I34" s="164">
        <f t="shared" si="17"/>
        <v>328.5</v>
      </c>
      <c r="J34" s="163" t="str">
        <f t="shared" si="18"/>
        <v>_O5 =</v>
      </c>
      <c r="K34" s="164">
        <f t="shared" si="19"/>
        <v>328.5</v>
      </c>
      <c r="L34" s="163" t="str">
        <f t="shared" si="20"/>
        <v>_O6 =</v>
      </c>
      <c r="M34" s="165">
        <f t="shared" si="21"/>
        <v>328.5</v>
      </c>
      <c r="O34" s="237">
        <v>2</v>
      </c>
      <c r="P34" s="238" t="str">
        <f t="shared" si="12"/>
        <v>_I3 =</v>
      </c>
      <c r="Q34" s="239">
        <v>1</v>
      </c>
      <c r="R34" s="240">
        <v>-7</v>
      </c>
      <c r="S34" s="241" t="str">
        <f t="shared" si="13"/>
        <v>_O5 =</v>
      </c>
      <c r="T34" s="239">
        <v>1</v>
      </c>
      <c r="U34" s="242">
        <v>2</v>
      </c>
      <c r="V34" s="241" t="str">
        <f t="shared" si="14"/>
        <v>_O6 =</v>
      </c>
      <c r="W34" s="239">
        <v>1</v>
      </c>
      <c r="X34" s="243">
        <v>7</v>
      </c>
      <c r="Z34" s="312">
        <v>278.5</v>
      </c>
      <c r="AA34" s="295">
        <v>5</v>
      </c>
      <c r="AB34" s="313">
        <v>3</v>
      </c>
    </row>
    <row r="35" spans="1:28" ht="12.75">
      <c r="A35" s="145">
        <f>'Tape lengths'!D36</f>
        <v>3</v>
      </c>
      <c r="B35" s="3" t="str">
        <f>'Tape lengths'!F36</f>
        <v>_O4/_I4/_I5</v>
      </c>
      <c r="C35" s="157" t="str">
        <f t="shared" si="15"/>
        <v>204/204/204</v>
      </c>
      <c r="D35" s="3">
        <v>25</v>
      </c>
      <c r="E35" s="3">
        <v>18.5</v>
      </c>
      <c r="F35" s="147">
        <v>2</v>
      </c>
      <c r="G35" s="304"/>
      <c r="H35" s="169" t="str">
        <f t="shared" si="16"/>
        <v>_O4 =</v>
      </c>
      <c r="I35" s="170">
        <f t="shared" si="17"/>
        <v>249.5</v>
      </c>
      <c r="J35" s="169" t="str">
        <f t="shared" si="18"/>
        <v>_I4 =</v>
      </c>
      <c r="K35" s="170">
        <f t="shared" si="19"/>
        <v>249.5</v>
      </c>
      <c r="L35" s="169" t="str">
        <f t="shared" si="20"/>
        <v>_I5 =</v>
      </c>
      <c r="M35" s="171">
        <f t="shared" si="21"/>
        <v>249.5</v>
      </c>
      <c r="O35" s="230">
        <v>3</v>
      </c>
      <c r="P35" s="244" t="str">
        <f t="shared" si="12"/>
        <v>_O4 =</v>
      </c>
      <c r="Q35" s="152">
        <v>2</v>
      </c>
      <c r="R35" s="245">
        <v>-3</v>
      </c>
      <c r="S35" s="246" t="str">
        <f t="shared" si="13"/>
        <v>_I4 =</v>
      </c>
      <c r="T35" s="152">
        <v>2</v>
      </c>
      <c r="U35" s="247">
        <v>0</v>
      </c>
      <c r="V35" s="246" t="str">
        <f t="shared" si="14"/>
        <v>_I5 =</v>
      </c>
      <c r="W35" s="152">
        <v>2</v>
      </c>
      <c r="X35" s="248">
        <v>3</v>
      </c>
      <c r="Z35" s="312">
        <v>284.5</v>
      </c>
      <c r="AA35" s="295">
        <v>6</v>
      </c>
      <c r="AB35" s="313">
        <v>3</v>
      </c>
    </row>
    <row r="36" spans="1:28" ht="12.75">
      <c r="A36" s="140">
        <f>'Tape lengths'!D37</f>
        <v>3</v>
      </c>
      <c r="B36" s="6" t="str">
        <f>'Tape lengths'!F37</f>
        <v>_M3/_M4/_M5</v>
      </c>
      <c r="C36" s="156" t="str">
        <f t="shared" si="15"/>
        <v>204/204/204</v>
      </c>
      <c r="D36" s="6">
        <v>25</v>
      </c>
      <c r="E36" s="6">
        <v>62.5</v>
      </c>
      <c r="F36" s="30">
        <v>2</v>
      </c>
      <c r="G36" s="305"/>
      <c r="H36" s="172" t="str">
        <f t="shared" si="16"/>
        <v>_M3 =</v>
      </c>
      <c r="I36" s="173">
        <f t="shared" si="17"/>
        <v>293.5</v>
      </c>
      <c r="J36" s="172" t="str">
        <f t="shared" si="18"/>
        <v>_M4 =</v>
      </c>
      <c r="K36" s="173">
        <f t="shared" si="19"/>
        <v>293.5</v>
      </c>
      <c r="L36" s="172" t="str">
        <f t="shared" si="20"/>
        <v>_M5 =</v>
      </c>
      <c r="M36" s="174">
        <f t="shared" si="21"/>
        <v>293.5</v>
      </c>
      <c r="O36" s="230">
        <v>3</v>
      </c>
      <c r="P36" s="211" t="str">
        <f t="shared" si="12"/>
        <v>_M3 =</v>
      </c>
      <c r="Q36" s="153">
        <v>2</v>
      </c>
      <c r="R36" s="212">
        <v>-4</v>
      </c>
      <c r="S36" s="213" t="str">
        <f t="shared" si="13"/>
        <v>_M4 =</v>
      </c>
      <c r="T36" s="153">
        <v>2</v>
      </c>
      <c r="U36" s="214">
        <v>-1</v>
      </c>
      <c r="V36" s="213" t="str">
        <f t="shared" si="14"/>
        <v>_M5 =</v>
      </c>
      <c r="W36" s="153">
        <v>2</v>
      </c>
      <c r="X36" s="215">
        <v>4</v>
      </c>
      <c r="Z36" s="314">
        <v>290.5</v>
      </c>
      <c r="AA36" s="295" t="s">
        <v>213</v>
      </c>
      <c r="AB36" s="313"/>
    </row>
    <row r="37" spans="1:28" ht="13.5" thickBot="1">
      <c r="A37" s="140">
        <f>'Tape lengths'!D38</f>
        <v>3</v>
      </c>
      <c r="B37" s="6" t="str">
        <f>'Tape lengths'!F38</f>
        <v>_I3/_O5/_O6</v>
      </c>
      <c r="C37" s="156" t="str">
        <f t="shared" si="15"/>
        <v>204/204/204</v>
      </c>
      <c r="D37" s="6">
        <v>25</v>
      </c>
      <c r="E37" s="6">
        <v>106.5</v>
      </c>
      <c r="F37" s="30">
        <v>2</v>
      </c>
      <c r="G37" s="305"/>
      <c r="H37" s="172" t="str">
        <f t="shared" si="16"/>
        <v>_I3 =</v>
      </c>
      <c r="I37" s="173">
        <f t="shared" si="17"/>
        <v>337.5</v>
      </c>
      <c r="J37" s="172" t="str">
        <f t="shared" si="18"/>
        <v>_O5 =</v>
      </c>
      <c r="K37" s="173">
        <f t="shared" si="19"/>
        <v>337.5</v>
      </c>
      <c r="L37" s="172" t="str">
        <f t="shared" si="20"/>
        <v>_O6 =</v>
      </c>
      <c r="M37" s="174">
        <f t="shared" si="21"/>
        <v>337.5</v>
      </c>
      <c r="O37" s="237">
        <v>3</v>
      </c>
      <c r="P37" s="249" t="str">
        <f t="shared" si="12"/>
        <v>_I3 =</v>
      </c>
      <c r="Q37" s="250">
        <v>2</v>
      </c>
      <c r="R37" s="251">
        <v>-5</v>
      </c>
      <c r="S37" s="252" t="str">
        <f t="shared" si="13"/>
        <v>_O5 =</v>
      </c>
      <c r="T37" s="250">
        <v>2</v>
      </c>
      <c r="U37" s="253">
        <v>1</v>
      </c>
      <c r="V37" s="252" t="str">
        <f t="shared" si="14"/>
        <v>_O6 =</v>
      </c>
      <c r="W37" s="250">
        <v>2</v>
      </c>
      <c r="X37" s="254">
        <v>5</v>
      </c>
      <c r="Z37" s="315">
        <v>293.5</v>
      </c>
      <c r="AA37" s="295">
        <v>7</v>
      </c>
      <c r="AB37" s="313">
        <v>6</v>
      </c>
    </row>
    <row r="38" spans="1:28" ht="12.75">
      <c r="A38" s="145">
        <f>'Tape lengths'!D39</f>
        <v>4</v>
      </c>
      <c r="B38" s="3" t="str">
        <f>'Tape lengths'!F39</f>
        <v>_O4/_I4/_I5</v>
      </c>
      <c r="C38" s="157" t="str">
        <f t="shared" si="15"/>
        <v>212/212/212</v>
      </c>
      <c r="D38" s="3">
        <v>25</v>
      </c>
      <c r="E38" s="3">
        <v>18.5</v>
      </c>
      <c r="F38" s="147">
        <v>2</v>
      </c>
      <c r="G38" s="304"/>
      <c r="H38" s="169" t="str">
        <f t="shared" si="16"/>
        <v>_O4 =</v>
      </c>
      <c r="I38" s="170">
        <f t="shared" si="17"/>
        <v>257.5</v>
      </c>
      <c r="J38" s="169" t="str">
        <f t="shared" si="18"/>
        <v>_I4 =</v>
      </c>
      <c r="K38" s="170">
        <f t="shared" si="19"/>
        <v>257.5</v>
      </c>
      <c r="L38" s="169" t="str">
        <f t="shared" si="20"/>
        <v>_I5 =</v>
      </c>
      <c r="M38" s="171">
        <f t="shared" si="21"/>
        <v>257.5</v>
      </c>
      <c r="O38" s="230">
        <v>4</v>
      </c>
      <c r="P38" s="244" t="str">
        <f t="shared" si="12"/>
        <v>_O4 =</v>
      </c>
      <c r="Q38" s="152">
        <v>2</v>
      </c>
      <c r="R38" s="245">
        <v>-6</v>
      </c>
      <c r="S38" s="246" t="str">
        <f t="shared" si="13"/>
        <v>_I4 =</v>
      </c>
      <c r="T38" s="152">
        <v>2</v>
      </c>
      <c r="U38" s="247">
        <v>-2</v>
      </c>
      <c r="V38" s="246" t="str">
        <f t="shared" si="14"/>
        <v>_I5 =</v>
      </c>
      <c r="W38" s="152">
        <v>2</v>
      </c>
      <c r="X38" s="248">
        <v>6</v>
      </c>
      <c r="Z38" s="314">
        <v>301.5</v>
      </c>
      <c r="AA38" s="295" t="s">
        <v>213</v>
      </c>
      <c r="AB38" s="313"/>
    </row>
    <row r="39" spans="1:28" ht="12.75">
      <c r="A39" s="140">
        <f>'Tape lengths'!D40</f>
        <v>4</v>
      </c>
      <c r="B39" s="6" t="str">
        <f>'Tape lengths'!F40</f>
        <v>_M3/_M4/_M5</v>
      </c>
      <c r="C39" s="156" t="str">
        <f t="shared" si="15"/>
        <v>212/212/212</v>
      </c>
      <c r="D39" s="6">
        <v>25</v>
      </c>
      <c r="E39" s="6">
        <v>62.5</v>
      </c>
      <c r="F39" s="30">
        <v>2</v>
      </c>
      <c r="G39" s="305"/>
      <c r="H39" s="172" t="str">
        <f t="shared" si="16"/>
        <v>_M3 =</v>
      </c>
      <c r="I39" s="173">
        <f t="shared" si="17"/>
        <v>301.5</v>
      </c>
      <c r="J39" s="172" t="str">
        <f t="shared" si="18"/>
        <v>_M4 =</v>
      </c>
      <c r="K39" s="173">
        <f t="shared" si="19"/>
        <v>301.5</v>
      </c>
      <c r="L39" s="172" t="str">
        <f t="shared" si="20"/>
        <v>_M5 =</v>
      </c>
      <c r="M39" s="174">
        <f t="shared" si="21"/>
        <v>301.5</v>
      </c>
      <c r="O39" s="230">
        <v>4</v>
      </c>
      <c r="P39" s="211" t="str">
        <f t="shared" si="12"/>
        <v>_M3 =</v>
      </c>
      <c r="Q39" s="153">
        <v>2</v>
      </c>
      <c r="R39" s="212">
        <v>-7</v>
      </c>
      <c r="S39" s="213" t="str">
        <f t="shared" si="13"/>
        <v>_M4 =</v>
      </c>
      <c r="T39" s="153">
        <v>2</v>
      </c>
      <c r="U39" s="214">
        <v>2</v>
      </c>
      <c r="V39" s="213" t="str">
        <f t="shared" si="14"/>
        <v>_M5 =</v>
      </c>
      <c r="W39" s="153">
        <v>2</v>
      </c>
      <c r="X39" s="215">
        <v>7</v>
      </c>
      <c r="Z39" s="315">
        <v>301.5</v>
      </c>
      <c r="AA39" s="295">
        <v>8</v>
      </c>
      <c r="AB39" s="313">
        <v>6</v>
      </c>
    </row>
    <row r="40" spans="1:28" ht="13.5" thickBot="1">
      <c r="A40" s="140">
        <f>'Tape lengths'!D41</f>
        <v>4</v>
      </c>
      <c r="B40" s="6" t="str">
        <f>'Tape lengths'!F41</f>
        <v>_I3/_O5/_O6</v>
      </c>
      <c r="C40" s="156" t="str">
        <f t="shared" si="15"/>
        <v>215/223/215</v>
      </c>
      <c r="D40" s="6">
        <v>25</v>
      </c>
      <c r="E40" s="6">
        <v>106.5</v>
      </c>
      <c r="F40" s="30">
        <v>2</v>
      </c>
      <c r="G40" s="305"/>
      <c r="H40" s="172" t="str">
        <f t="shared" si="16"/>
        <v>_I3 =</v>
      </c>
      <c r="I40" s="173">
        <f t="shared" si="17"/>
        <v>348.5</v>
      </c>
      <c r="J40" s="175" t="str">
        <f t="shared" si="18"/>
        <v>_O5 =</v>
      </c>
      <c r="K40" s="176">
        <f t="shared" si="19"/>
        <v>356.5</v>
      </c>
      <c r="L40" s="172" t="str">
        <f t="shared" si="20"/>
        <v>_O6 =</v>
      </c>
      <c r="M40" s="174">
        <f t="shared" si="21"/>
        <v>348.5</v>
      </c>
      <c r="O40" s="237">
        <v>4</v>
      </c>
      <c r="P40" s="249" t="str">
        <f t="shared" si="12"/>
        <v>_I3 =</v>
      </c>
      <c r="Q40" s="250">
        <v>2</v>
      </c>
      <c r="R40" s="251">
        <v>-8</v>
      </c>
      <c r="S40" s="255" t="str">
        <f t="shared" si="13"/>
        <v>_O5 =</v>
      </c>
      <c r="T40" s="256">
        <v>3</v>
      </c>
      <c r="U40" s="257">
        <v>0</v>
      </c>
      <c r="V40" s="252" t="str">
        <f t="shared" si="14"/>
        <v>_O6 =</v>
      </c>
      <c r="W40" s="250">
        <v>2</v>
      </c>
      <c r="X40" s="254">
        <v>8</v>
      </c>
      <c r="Z40" s="314">
        <v>312.5</v>
      </c>
      <c r="AA40" s="295" t="s">
        <v>213</v>
      </c>
      <c r="AB40" s="313"/>
    </row>
    <row r="41" spans="1:28" ht="12.75">
      <c r="A41" s="145">
        <f>'Tape lengths'!D42</f>
        <v>5</v>
      </c>
      <c r="B41" s="3" t="str">
        <f>'Tape lengths'!F42</f>
        <v>_O4/_I4/_I5</v>
      </c>
      <c r="C41" s="157" t="str">
        <f t="shared" si="15"/>
        <v>223/223/223</v>
      </c>
      <c r="D41" s="3">
        <v>25</v>
      </c>
      <c r="E41" s="3">
        <v>18.5</v>
      </c>
      <c r="F41" s="147">
        <v>2</v>
      </c>
      <c r="G41" s="304"/>
      <c r="H41" s="177" t="str">
        <f t="shared" si="16"/>
        <v>_O4 =</v>
      </c>
      <c r="I41" s="178">
        <f t="shared" si="17"/>
        <v>268.5</v>
      </c>
      <c r="J41" s="177" t="str">
        <f t="shared" si="18"/>
        <v>_I4 =</v>
      </c>
      <c r="K41" s="178">
        <f t="shared" si="19"/>
        <v>268.5</v>
      </c>
      <c r="L41" s="177" t="str">
        <f t="shared" si="20"/>
        <v>_I5 =</v>
      </c>
      <c r="M41" s="179">
        <f t="shared" si="21"/>
        <v>268.5</v>
      </c>
      <c r="O41" s="230">
        <v>5</v>
      </c>
      <c r="P41" s="258" t="str">
        <f t="shared" si="12"/>
        <v>_O4 =</v>
      </c>
      <c r="Q41" s="259">
        <v>3</v>
      </c>
      <c r="R41" s="260">
        <v>-4</v>
      </c>
      <c r="S41" s="261" t="str">
        <f t="shared" si="13"/>
        <v>_I4 =</v>
      </c>
      <c r="T41" s="259">
        <v>3</v>
      </c>
      <c r="U41" s="262">
        <v>-1</v>
      </c>
      <c r="V41" s="261" t="str">
        <f t="shared" si="14"/>
        <v>_I5 =</v>
      </c>
      <c r="W41" s="259">
        <v>3</v>
      </c>
      <c r="X41" s="263">
        <v>4</v>
      </c>
      <c r="Z41" s="315">
        <v>313.5</v>
      </c>
      <c r="AA41" s="295">
        <v>9</v>
      </c>
      <c r="AB41" s="313">
        <v>4</v>
      </c>
    </row>
    <row r="42" spans="1:28" ht="12.75">
      <c r="A42" s="140">
        <f>'Tape lengths'!D43</f>
        <v>5</v>
      </c>
      <c r="B42" s="6" t="str">
        <f>'Tape lengths'!F43</f>
        <v>_M3/_M4/_M5</v>
      </c>
      <c r="C42" s="156" t="str">
        <f t="shared" si="15"/>
        <v>223/223/223</v>
      </c>
      <c r="D42" s="6">
        <v>25</v>
      </c>
      <c r="E42" s="6">
        <v>62.5</v>
      </c>
      <c r="F42" s="30">
        <v>2</v>
      </c>
      <c r="G42" s="305"/>
      <c r="H42" s="175" t="str">
        <f t="shared" si="16"/>
        <v>_M3 =</v>
      </c>
      <c r="I42" s="176">
        <f t="shared" si="17"/>
        <v>312.5</v>
      </c>
      <c r="J42" s="175" t="str">
        <f t="shared" si="18"/>
        <v>_M4 =</v>
      </c>
      <c r="K42" s="176">
        <f t="shared" si="19"/>
        <v>312.5</v>
      </c>
      <c r="L42" s="175" t="str">
        <f t="shared" si="20"/>
        <v>_M5 =</v>
      </c>
      <c r="M42" s="180">
        <f t="shared" si="21"/>
        <v>312.5</v>
      </c>
      <c r="O42" s="230">
        <v>5</v>
      </c>
      <c r="P42" s="216" t="str">
        <f t="shared" si="12"/>
        <v>_M3 =</v>
      </c>
      <c r="Q42" s="217">
        <v>3</v>
      </c>
      <c r="R42" s="218">
        <v>-5</v>
      </c>
      <c r="S42" s="219" t="str">
        <f t="shared" si="13"/>
        <v>_M4 =</v>
      </c>
      <c r="T42" s="217">
        <v>3</v>
      </c>
      <c r="U42" s="220">
        <v>1</v>
      </c>
      <c r="V42" s="219" t="str">
        <f t="shared" si="14"/>
        <v>_M5 =</v>
      </c>
      <c r="W42" s="217">
        <v>3</v>
      </c>
      <c r="X42" s="221">
        <v>5</v>
      </c>
      <c r="Z42" s="314">
        <v>322.5</v>
      </c>
      <c r="AA42" s="295" t="s">
        <v>213</v>
      </c>
      <c r="AB42" s="313"/>
    </row>
    <row r="43" spans="1:28" ht="13.5" thickBot="1">
      <c r="A43" s="140">
        <f>'Tape lengths'!D44</f>
        <v>5</v>
      </c>
      <c r="B43" s="6" t="str">
        <f>'Tape lengths'!F44</f>
        <v>_I3/_O5/_O6</v>
      </c>
      <c r="C43" s="156" t="str">
        <f t="shared" si="15"/>
        <v>223/223/223</v>
      </c>
      <c r="D43" s="6">
        <v>25</v>
      </c>
      <c r="E43" s="6">
        <v>106.5</v>
      </c>
      <c r="F43" s="30">
        <v>2</v>
      </c>
      <c r="G43" s="305"/>
      <c r="H43" s="175" t="str">
        <f t="shared" si="16"/>
        <v>_I3 =</v>
      </c>
      <c r="I43" s="176">
        <f t="shared" si="17"/>
        <v>356.5</v>
      </c>
      <c r="J43" s="175" t="str">
        <f t="shared" si="18"/>
        <v>_O5 =</v>
      </c>
      <c r="K43" s="176">
        <f t="shared" si="19"/>
        <v>356.5</v>
      </c>
      <c r="L43" s="175" t="str">
        <f t="shared" si="20"/>
        <v>_O6 =</v>
      </c>
      <c r="M43" s="180">
        <f t="shared" si="21"/>
        <v>356.5</v>
      </c>
      <c r="O43" s="237">
        <v>5</v>
      </c>
      <c r="P43" s="264" t="str">
        <f t="shared" si="12"/>
        <v>_I3 =</v>
      </c>
      <c r="Q43" s="256">
        <v>3</v>
      </c>
      <c r="R43" s="265">
        <v>-6</v>
      </c>
      <c r="S43" s="255" t="str">
        <f t="shared" si="13"/>
        <v>_O5 =</v>
      </c>
      <c r="T43" s="256">
        <v>3</v>
      </c>
      <c r="U43" s="257">
        <v>-2</v>
      </c>
      <c r="V43" s="255" t="str">
        <f t="shared" si="14"/>
        <v>_O6 =</v>
      </c>
      <c r="W43" s="256">
        <v>3</v>
      </c>
      <c r="X43" s="266">
        <v>6</v>
      </c>
      <c r="Z43" s="315">
        <v>323</v>
      </c>
      <c r="AA43" s="295">
        <v>10</v>
      </c>
      <c r="AB43" s="313">
        <v>6</v>
      </c>
    </row>
    <row r="44" spans="1:28" ht="12.75">
      <c r="A44" s="145">
        <f>'Tape lengths'!D45</f>
        <v>6</v>
      </c>
      <c r="B44" s="3" t="str">
        <f>'Tape lengths'!F45</f>
        <v>_O4/_I4/_I5</v>
      </c>
      <c r="C44" s="157" t="str">
        <f t="shared" si="15"/>
        <v>233/233/233</v>
      </c>
      <c r="D44" s="3">
        <v>25</v>
      </c>
      <c r="E44" s="3">
        <v>18.5</v>
      </c>
      <c r="F44" s="147">
        <v>2</v>
      </c>
      <c r="G44" s="304"/>
      <c r="H44" s="177" t="str">
        <f t="shared" si="16"/>
        <v>_O4 =</v>
      </c>
      <c r="I44" s="178">
        <f t="shared" si="17"/>
        <v>278.5</v>
      </c>
      <c r="J44" s="177" t="str">
        <f t="shared" si="18"/>
        <v>_I4 =</v>
      </c>
      <c r="K44" s="178">
        <f t="shared" si="19"/>
        <v>278.5</v>
      </c>
      <c r="L44" s="177" t="str">
        <f t="shared" si="20"/>
        <v>_I5 =</v>
      </c>
      <c r="M44" s="179">
        <f t="shared" si="21"/>
        <v>278.5</v>
      </c>
      <c r="O44" s="230">
        <v>6</v>
      </c>
      <c r="P44" s="258" t="str">
        <f t="shared" si="12"/>
        <v>_O4 =</v>
      </c>
      <c r="Q44" s="259">
        <v>3</v>
      </c>
      <c r="R44" s="260">
        <v>-7</v>
      </c>
      <c r="S44" s="261" t="str">
        <f t="shared" si="13"/>
        <v>_I4 =</v>
      </c>
      <c r="T44" s="259">
        <v>3</v>
      </c>
      <c r="U44" s="262">
        <v>2</v>
      </c>
      <c r="V44" s="261" t="str">
        <f t="shared" si="14"/>
        <v>_I5 =</v>
      </c>
      <c r="W44" s="259">
        <v>3</v>
      </c>
      <c r="X44" s="263">
        <v>7</v>
      </c>
      <c r="Z44" s="312">
        <v>328.5</v>
      </c>
      <c r="AA44" s="295">
        <v>11</v>
      </c>
      <c r="AB44" s="313">
        <v>3</v>
      </c>
    </row>
    <row r="45" spans="1:28" ht="12.75">
      <c r="A45" s="140">
        <f>'Tape lengths'!D46</f>
        <v>6</v>
      </c>
      <c r="B45" s="6" t="str">
        <f>'Tape lengths'!F46</f>
        <v>_M3/_M4/_M5</v>
      </c>
      <c r="C45" s="156" t="str">
        <f t="shared" si="15"/>
        <v>233/233/233</v>
      </c>
      <c r="D45" s="6">
        <v>25</v>
      </c>
      <c r="E45" s="6">
        <v>62.5</v>
      </c>
      <c r="F45" s="30">
        <v>2</v>
      </c>
      <c r="G45" s="305"/>
      <c r="H45" s="175" t="str">
        <f t="shared" si="16"/>
        <v>_M3 =</v>
      </c>
      <c r="I45" s="176">
        <f t="shared" si="17"/>
        <v>322.5</v>
      </c>
      <c r="J45" s="175" t="str">
        <f t="shared" si="18"/>
        <v>_M4 =</v>
      </c>
      <c r="K45" s="176">
        <f t="shared" si="19"/>
        <v>322.5</v>
      </c>
      <c r="L45" s="175" t="str">
        <f t="shared" si="20"/>
        <v>_M5 =</v>
      </c>
      <c r="M45" s="180">
        <f t="shared" si="21"/>
        <v>322.5</v>
      </c>
      <c r="O45" s="230">
        <v>6</v>
      </c>
      <c r="P45" s="216" t="str">
        <f t="shared" si="12"/>
        <v>_M3 =</v>
      </c>
      <c r="Q45" s="217">
        <v>3</v>
      </c>
      <c r="R45" s="218">
        <v>-8</v>
      </c>
      <c r="S45" s="219" t="str">
        <f t="shared" si="13"/>
        <v>_M4 =</v>
      </c>
      <c r="T45" s="217">
        <v>3</v>
      </c>
      <c r="U45" s="220">
        <v>-3</v>
      </c>
      <c r="V45" s="219" t="str">
        <f t="shared" si="14"/>
        <v>_M5 =</v>
      </c>
      <c r="W45" s="217">
        <v>3</v>
      </c>
      <c r="X45" s="221">
        <v>8</v>
      </c>
      <c r="Z45" s="314">
        <v>334.5</v>
      </c>
      <c r="AA45" s="295" t="s">
        <v>213</v>
      </c>
      <c r="AB45" s="313"/>
    </row>
    <row r="46" spans="1:28" ht="13.5" thickBot="1">
      <c r="A46" s="140">
        <f>'Tape lengths'!D47</f>
        <v>6</v>
      </c>
      <c r="B46" s="6" t="str">
        <f>'Tape lengths'!F47</f>
        <v>_I3/_O5/_O6</v>
      </c>
      <c r="C46" s="156" t="str">
        <f t="shared" si="15"/>
        <v>233/235/233</v>
      </c>
      <c r="D46" s="6">
        <v>25</v>
      </c>
      <c r="E46" s="6">
        <v>106.5</v>
      </c>
      <c r="F46" s="30">
        <v>2</v>
      </c>
      <c r="G46" s="305"/>
      <c r="H46" s="181" t="str">
        <f t="shared" si="16"/>
        <v>_I3 =</v>
      </c>
      <c r="I46" s="183">
        <f t="shared" si="17"/>
        <v>366.5</v>
      </c>
      <c r="J46" s="175" t="str">
        <f t="shared" si="18"/>
        <v>_O5 =</v>
      </c>
      <c r="K46" s="176">
        <f t="shared" si="19"/>
        <v>368.5</v>
      </c>
      <c r="L46" s="181" t="str">
        <f t="shared" si="20"/>
        <v>_O6 =</v>
      </c>
      <c r="M46" s="182">
        <f t="shared" si="21"/>
        <v>366.5</v>
      </c>
      <c r="O46" s="237">
        <v>6</v>
      </c>
      <c r="P46" s="267" t="str">
        <f t="shared" si="12"/>
        <v>_I3 =</v>
      </c>
      <c r="Q46" s="268">
        <v>4</v>
      </c>
      <c r="R46" s="269">
        <v>-3</v>
      </c>
      <c r="S46" s="255" t="str">
        <f t="shared" si="13"/>
        <v>_O5 =</v>
      </c>
      <c r="T46" s="256">
        <v>3</v>
      </c>
      <c r="U46" s="257">
        <v>3</v>
      </c>
      <c r="V46" s="270" t="str">
        <f t="shared" si="14"/>
        <v>_O6 =</v>
      </c>
      <c r="W46" s="268">
        <v>4</v>
      </c>
      <c r="X46" s="271">
        <v>4</v>
      </c>
      <c r="Z46" s="315">
        <v>337.5</v>
      </c>
      <c r="AA46" s="295">
        <v>12</v>
      </c>
      <c r="AB46" s="313">
        <v>6</v>
      </c>
    </row>
    <row r="47" spans="1:28" ht="12.75">
      <c r="A47" s="145">
        <f>'Tape lengths'!D48</f>
        <v>7</v>
      </c>
      <c r="B47" s="3" t="str">
        <f>'Tape lengths'!F48</f>
        <v>_O4/_O5/_O6</v>
      </c>
      <c r="C47" s="157" t="str">
        <f t="shared" si="15"/>
        <v>245/245/245</v>
      </c>
      <c r="D47" s="3">
        <v>25</v>
      </c>
      <c r="E47" s="3">
        <v>18.5</v>
      </c>
      <c r="F47" s="147">
        <v>2</v>
      </c>
      <c r="G47" s="304"/>
      <c r="H47" s="184" t="str">
        <f t="shared" si="16"/>
        <v>_O4 =</v>
      </c>
      <c r="I47" s="185">
        <f t="shared" si="17"/>
        <v>290.5</v>
      </c>
      <c r="J47" s="184" t="str">
        <f t="shared" si="18"/>
        <v>_O5 =</v>
      </c>
      <c r="K47" s="185">
        <f t="shared" si="19"/>
        <v>290.5</v>
      </c>
      <c r="L47" s="184" t="str">
        <f t="shared" si="20"/>
        <v>_O6 =</v>
      </c>
      <c r="M47" s="186">
        <f t="shared" si="21"/>
        <v>290.5</v>
      </c>
      <c r="O47" s="230">
        <v>7</v>
      </c>
      <c r="P47" s="272" t="str">
        <f t="shared" si="12"/>
        <v>_O4 =</v>
      </c>
      <c r="Q47" s="151">
        <v>4</v>
      </c>
      <c r="R47" s="273">
        <v>-4</v>
      </c>
      <c r="S47" s="274" t="str">
        <f t="shared" si="13"/>
        <v>_O5 =</v>
      </c>
      <c r="T47" s="151">
        <v>4</v>
      </c>
      <c r="U47" s="275">
        <v>0</v>
      </c>
      <c r="V47" s="274" t="str">
        <f t="shared" si="14"/>
        <v>_O6 =</v>
      </c>
      <c r="W47" s="151">
        <v>4</v>
      </c>
      <c r="X47" s="276">
        <v>5</v>
      </c>
      <c r="Z47" s="314">
        <v>345.5</v>
      </c>
      <c r="AA47" s="295" t="s">
        <v>213</v>
      </c>
      <c r="AB47" s="313"/>
    </row>
    <row r="48" spans="1:28" ht="13.5" thickBot="1">
      <c r="A48" s="140">
        <f>'Tape lengths'!D49</f>
        <v>7</v>
      </c>
      <c r="B48" s="6" t="str">
        <f>'Tape lengths'!F49</f>
        <v>_M3/_M4/_M5</v>
      </c>
      <c r="C48" s="156" t="str">
        <f t="shared" si="15"/>
        <v>245/245/245</v>
      </c>
      <c r="D48" s="6">
        <v>25</v>
      </c>
      <c r="E48" s="6">
        <v>62.5</v>
      </c>
      <c r="F48" s="30">
        <v>2</v>
      </c>
      <c r="G48" s="305"/>
      <c r="H48" s="181" t="str">
        <f t="shared" si="16"/>
        <v>_M3 =</v>
      </c>
      <c r="I48" s="183">
        <f t="shared" si="17"/>
        <v>334.5</v>
      </c>
      <c r="J48" s="181" t="str">
        <f t="shared" si="18"/>
        <v>_M4 =</v>
      </c>
      <c r="K48" s="183">
        <f t="shared" si="19"/>
        <v>334.5</v>
      </c>
      <c r="L48" s="181" t="str">
        <f t="shared" si="20"/>
        <v>_M5 =</v>
      </c>
      <c r="M48" s="182">
        <f t="shared" si="21"/>
        <v>334.5</v>
      </c>
      <c r="O48" s="237">
        <v>7</v>
      </c>
      <c r="P48" s="267" t="str">
        <f t="shared" si="12"/>
        <v>_M3 =</v>
      </c>
      <c r="Q48" s="268">
        <v>4</v>
      </c>
      <c r="R48" s="269">
        <v>-5</v>
      </c>
      <c r="S48" s="270" t="str">
        <f t="shared" si="13"/>
        <v>_M4 =</v>
      </c>
      <c r="T48" s="268">
        <v>4</v>
      </c>
      <c r="U48" s="277">
        <v>-1</v>
      </c>
      <c r="V48" s="270" t="str">
        <f t="shared" si="14"/>
        <v>_M5 =</v>
      </c>
      <c r="W48" s="268">
        <v>4</v>
      </c>
      <c r="X48" s="271">
        <v>6</v>
      </c>
      <c r="Z48" s="315">
        <v>348.5</v>
      </c>
      <c r="AA48" s="295">
        <v>13</v>
      </c>
      <c r="AB48" s="313">
        <v>5</v>
      </c>
    </row>
    <row r="49" spans="1:28" ht="12.75">
      <c r="A49" s="145">
        <f>'Tape lengths'!D50</f>
        <v>8</v>
      </c>
      <c r="B49" s="3" t="str">
        <f>'Tape lengths'!F50</f>
        <v>_O4/_O5/_O6</v>
      </c>
      <c r="C49" s="157" t="str">
        <f t="shared" si="15"/>
        <v>256/256/256</v>
      </c>
      <c r="D49" s="3">
        <v>25</v>
      </c>
      <c r="E49" s="3">
        <v>18.5</v>
      </c>
      <c r="F49" s="147">
        <v>2</v>
      </c>
      <c r="G49" s="304"/>
      <c r="H49" s="187" t="str">
        <f t="shared" si="16"/>
        <v>_O4 =</v>
      </c>
      <c r="I49" s="188">
        <f t="shared" si="17"/>
        <v>301.5</v>
      </c>
      <c r="J49" s="187" t="str">
        <f t="shared" si="18"/>
        <v>_O5 =</v>
      </c>
      <c r="K49" s="188">
        <f t="shared" si="19"/>
        <v>301.5</v>
      </c>
      <c r="L49" s="187" t="str">
        <f t="shared" si="20"/>
        <v>_O6 =</v>
      </c>
      <c r="M49" s="189">
        <f t="shared" si="21"/>
        <v>301.5</v>
      </c>
      <c r="O49" s="230">
        <v>8</v>
      </c>
      <c r="P49" s="282" t="str">
        <f t="shared" si="12"/>
        <v>_O4 =</v>
      </c>
      <c r="Q49" s="150">
        <v>4</v>
      </c>
      <c r="R49" s="283">
        <v>-6</v>
      </c>
      <c r="S49" s="284" t="str">
        <f t="shared" si="13"/>
        <v>_O5 =</v>
      </c>
      <c r="T49" s="150">
        <v>4</v>
      </c>
      <c r="U49" s="285">
        <v>1</v>
      </c>
      <c r="V49" s="284" t="str">
        <f t="shared" si="14"/>
        <v>_O6 =</v>
      </c>
      <c r="W49" s="150">
        <v>4</v>
      </c>
      <c r="X49" s="286">
        <v>7</v>
      </c>
      <c r="Z49" s="314">
        <v>356.5</v>
      </c>
      <c r="AA49" s="295" t="s">
        <v>213</v>
      </c>
      <c r="AB49" s="313"/>
    </row>
    <row r="50" spans="1:28" ht="13.5" thickBot="1">
      <c r="A50" s="143">
        <f>'Tape lengths'!D51</f>
        <v>8</v>
      </c>
      <c r="B50" s="144" t="str">
        <f>'Tape lengths'!F51</f>
        <v>_M3/_M4/_M5</v>
      </c>
      <c r="C50" s="158" t="str">
        <f t="shared" si="15"/>
        <v>256/256/256</v>
      </c>
      <c r="D50" s="144">
        <v>25</v>
      </c>
      <c r="E50" s="6">
        <v>62.5</v>
      </c>
      <c r="F50" s="148">
        <v>2</v>
      </c>
      <c r="G50" s="306"/>
      <c r="H50" s="190" t="str">
        <f t="shared" si="16"/>
        <v>_M3 =</v>
      </c>
      <c r="I50" s="191">
        <f t="shared" si="17"/>
        <v>345.5</v>
      </c>
      <c r="J50" s="190" t="str">
        <f t="shared" si="18"/>
        <v>_M4 =</v>
      </c>
      <c r="K50" s="191">
        <f t="shared" si="19"/>
        <v>345.5</v>
      </c>
      <c r="L50" s="190" t="str">
        <f t="shared" si="20"/>
        <v>_M5 =</v>
      </c>
      <c r="M50" s="192">
        <f t="shared" si="21"/>
        <v>345.5</v>
      </c>
      <c r="O50" s="237">
        <v>8</v>
      </c>
      <c r="P50" s="287" t="str">
        <f t="shared" si="12"/>
        <v>_M3 =</v>
      </c>
      <c r="Q50" s="288">
        <v>4</v>
      </c>
      <c r="R50" s="289">
        <v>-7</v>
      </c>
      <c r="S50" s="290" t="str">
        <f t="shared" si="13"/>
        <v>_M4 =</v>
      </c>
      <c r="T50" s="288">
        <v>4</v>
      </c>
      <c r="U50" s="291">
        <v>-2</v>
      </c>
      <c r="V50" s="290" t="str">
        <f t="shared" si="14"/>
        <v>_M5 =</v>
      </c>
      <c r="W50" s="288">
        <v>4</v>
      </c>
      <c r="X50" s="292">
        <v>8</v>
      </c>
      <c r="Z50" s="315">
        <v>357.5</v>
      </c>
      <c r="AA50" s="295">
        <v>14</v>
      </c>
      <c r="AB50" s="313">
        <v>6</v>
      </c>
    </row>
    <row r="51" spans="1:28" ht="12.75">
      <c r="A51" s="145">
        <f>'Tape lengths'!D52</f>
        <v>9</v>
      </c>
      <c r="B51" s="3" t="str">
        <f>'Tape lengths'!F52</f>
        <v>___/_O8/___</v>
      </c>
      <c r="C51" s="157" t="str">
        <f t="shared" si="15"/>
        <v>268/268/268</v>
      </c>
      <c r="D51" s="3">
        <v>25</v>
      </c>
      <c r="E51" s="3">
        <v>18.5</v>
      </c>
      <c r="F51" s="147">
        <v>2</v>
      </c>
      <c r="G51" s="304"/>
      <c r="H51" s="193" t="str">
        <f t="shared" si="16"/>
        <v>None</v>
      </c>
      <c r="I51" s="194" t="str">
        <f t="shared" si="17"/>
        <v>None</v>
      </c>
      <c r="J51" s="193" t="str">
        <f t="shared" si="18"/>
        <v>_O8 =</v>
      </c>
      <c r="K51" s="194">
        <f t="shared" si="19"/>
        <v>313.5</v>
      </c>
      <c r="L51" s="193" t="str">
        <f t="shared" si="20"/>
        <v>None</v>
      </c>
      <c r="M51" s="195" t="str">
        <f t="shared" si="21"/>
        <v>None</v>
      </c>
      <c r="O51" s="230">
        <v>9</v>
      </c>
      <c r="P51" s="278">
        <f t="shared" si="12"/>
      </c>
      <c r="Q51" s="279"/>
      <c r="R51" s="280"/>
      <c r="S51" s="281" t="str">
        <f t="shared" si="13"/>
        <v>_O8 =</v>
      </c>
      <c r="T51" s="279">
        <v>4</v>
      </c>
      <c r="U51" s="280">
        <v>2</v>
      </c>
      <c r="V51" s="281">
        <f t="shared" si="14"/>
      </c>
      <c r="W51" s="279"/>
      <c r="X51" s="294"/>
      <c r="Z51" s="314">
        <v>366.5</v>
      </c>
      <c r="AA51" s="295" t="s">
        <v>213</v>
      </c>
      <c r="AB51" s="313"/>
    </row>
    <row r="52" spans="1:28" ht="13.5" thickBot="1">
      <c r="A52" s="141">
        <f>'Tape lengths'!D53</f>
        <v>9</v>
      </c>
      <c r="B52" s="142" t="str">
        <f>'Tape lengths'!F53</f>
        <v>_O9/_07/___</v>
      </c>
      <c r="C52" s="159" t="str">
        <f t="shared" si="15"/>
        <v>268/268/268</v>
      </c>
      <c r="D52" s="142">
        <v>25</v>
      </c>
      <c r="E52" s="149">
        <v>62.5</v>
      </c>
      <c r="F52" s="149">
        <v>2</v>
      </c>
      <c r="G52" s="307"/>
      <c r="H52" s="196" t="str">
        <f t="shared" si="16"/>
        <v>_O9 =</v>
      </c>
      <c r="I52" s="197">
        <f t="shared" si="17"/>
        <v>357.5</v>
      </c>
      <c r="J52" s="196" t="str">
        <f t="shared" si="18"/>
        <v>_07 =</v>
      </c>
      <c r="K52" s="197">
        <f t="shared" si="19"/>
        <v>357.5</v>
      </c>
      <c r="L52" s="196" t="str">
        <f t="shared" si="20"/>
        <v>None</v>
      </c>
      <c r="M52" s="198" t="str">
        <f t="shared" si="21"/>
        <v>None</v>
      </c>
      <c r="O52" s="231">
        <v>9</v>
      </c>
      <c r="P52" s="228" t="str">
        <f t="shared" si="12"/>
        <v>_O9 =</v>
      </c>
      <c r="Q52" s="222">
        <v>4</v>
      </c>
      <c r="R52" s="223">
        <v>-8</v>
      </c>
      <c r="S52" s="224" t="str">
        <f t="shared" si="13"/>
        <v>_07 =</v>
      </c>
      <c r="T52" s="222">
        <v>4</v>
      </c>
      <c r="U52" s="225">
        <v>-3</v>
      </c>
      <c r="V52" s="224">
        <f t="shared" si="14"/>
      </c>
      <c r="W52" s="222"/>
      <c r="X52" s="293"/>
      <c r="Z52" s="319">
        <v>367</v>
      </c>
      <c r="AA52" s="295" t="s">
        <v>213</v>
      </c>
      <c r="AB52" s="313"/>
    </row>
    <row r="53" spans="8:28" ht="13.5" thickTop="1">
      <c r="H53" s="135" t="s">
        <v>186</v>
      </c>
      <c r="I53" s="135"/>
      <c r="J53" s="131"/>
      <c r="K53" s="135"/>
      <c r="L53" s="131"/>
      <c r="M53" s="135"/>
      <c r="P53" s="135" t="s">
        <v>190</v>
      </c>
      <c r="Z53" s="315">
        <v>368.5</v>
      </c>
      <c r="AA53" s="308">
        <v>15</v>
      </c>
      <c r="AB53" s="313">
        <v>6</v>
      </c>
    </row>
    <row r="54" spans="8:28" ht="13.5" thickBot="1">
      <c r="H54" s="135" t="s">
        <v>187</v>
      </c>
      <c r="I54" s="135"/>
      <c r="J54" s="131"/>
      <c r="K54" s="135"/>
      <c r="L54" s="131"/>
      <c r="M54" s="135"/>
      <c r="P54" s="135" t="s">
        <v>191</v>
      </c>
      <c r="Z54" s="316"/>
      <c r="AA54" s="317" t="s">
        <v>214</v>
      </c>
      <c r="AB54" s="318">
        <f>SUM(AB30:AB53)</f>
        <v>66</v>
      </c>
    </row>
    <row r="55" spans="1:28" s="134" customFormat="1" ht="103.5" thickBot="1" thickTop="1">
      <c r="A55" s="136" t="str">
        <f>A1</f>
        <v>Disc</v>
      </c>
      <c r="B55" s="137" t="str">
        <f>B1</f>
        <v>Modules</v>
      </c>
      <c r="C55" s="154" t="str">
        <f>C1</f>
        <v>Length from Clamp to PCB (mm, from CAD)</v>
      </c>
      <c r="D55" s="137" t="str">
        <f aca="true" t="shared" si="22" ref="D55:M55">D1</f>
        <v>Excess for short-connection (mm)</v>
      </c>
      <c r="E55" s="137" t="str">
        <f t="shared" si="22"/>
        <v>Length from edge of PCB to connector (mm)</v>
      </c>
      <c r="F55" s="137" t="str">
        <f t="shared" si="22"/>
        <v>Phi adjustment</v>
      </c>
      <c r="G55" s="137" t="str">
        <f t="shared" si="22"/>
        <v>Adjustment for 2-way PCB position in 3-way tray (D1 only)</v>
      </c>
      <c r="H55" s="137" t="str">
        <f t="shared" si="22"/>
        <v>Module @ LH PCB</v>
      </c>
      <c r="I55" s="137" t="str">
        <f t="shared" si="22"/>
        <v>Length (mm)</v>
      </c>
      <c r="J55" s="137" t="str">
        <f t="shared" si="22"/>
        <v>Module @ Middle PCB</v>
      </c>
      <c r="K55" s="137" t="str">
        <f t="shared" si="22"/>
        <v>Length (mm)</v>
      </c>
      <c r="L55" s="137" t="str">
        <f t="shared" si="22"/>
        <v>Module @ RH PCB</v>
      </c>
      <c r="M55" s="138" t="str">
        <f t="shared" si="22"/>
        <v>Length (mm)</v>
      </c>
      <c r="O55" s="229" t="s">
        <v>61</v>
      </c>
      <c r="P55" s="226" t="str">
        <f>P1</f>
        <v>Module</v>
      </c>
      <c r="Q55" s="199" t="str">
        <f aca="true" t="shared" si="23" ref="Q55:X55">Q1</f>
        <v>Row (1 = low Z, 4 = high Z)</v>
      </c>
      <c r="R55" s="201" t="str">
        <f t="shared" si="23"/>
        <v>Suggested clamp position (for LH PCB =-8 to  -3, all but blue = -7 to -3)</v>
      </c>
      <c r="S55" s="202" t="str">
        <f t="shared" si="23"/>
        <v>Module</v>
      </c>
      <c r="T55" s="199" t="str">
        <f t="shared" si="23"/>
        <v>Row (1 = low Z, 4 = high Z)</v>
      </c>
      <c r="U55" s="203" t="str">
        <f t="shared" si="23"/>
        <v>Suggested clamp position (for middle PCB =-3 through 0 to 3)</v>
      </c>
      <c r="V55" s="202" t="str">
        <f t="shared" si="23"/>
        <v>Module</v>
      </c>
      <c r="W55" s="199" t="str">
        <f t="shared" si="23"/>
        <v>Row (1 = low Z, 4 = high Z)</v>
      </c>
      <c r="X55" s="200" t="str">
        <f t="shared" si="23"/>
        <v>Suggested clamp position (for RH PCB = 3 to 8, all but blue = 3 to 7)</v>
      </c>
      <c r="Z55" s="309" t="s">
        <v>211</v>
      </c>
      <c r="AA55" s="310" t="s">
        <v>212</v>
      </c>
      <c r="AB55" s="311" t="s">
        <v>199</v>
      </c>
    </row>
    <row r="56" spans="1:28" ht="13.5" thickTop="1">
      <c r="A56" s="125">
        <f>'Tape lengths'!D57</f>
        <v>1</v>
      </c>
      <c r="B56" s="139" t="str">
        <f>'Tape lengths'!F57</f>
        <v>_M7/_O7/_09</v>
      </c>
      <c r="C56" s="155" t="str">
        <f>C2</f>
        <v>190/190/190</v>
      </c>
      <c r="D56" s="139">
        <v>25</v>
      </c>
      <c r="E56" s="139">
        <v>62.5</v>
      </c>
      <c r="F56" s="146">
        <v>2</v>
      </c>
      <c r="G56" s="302">
        <v>43.5</v>
      </c>
      <c r="H56" s="160" t="str">
        <f>IF((MID(B56,1,3))="___","None",(MID(B56,1,3))&amp;" =")</f>
        <v>_M7 =</v>
      </c>
      <c r="I56" s="161">
        <f>IF((MID(B56,1,3))="___","None",(MID(C56,1,3))+D56+E56+F56+G56)</f>
        <v>323</v>
      </c>
      <c r="J56" s="160" t="str">
        <f>IF((MID(B56,5,3))="___","None",(MID(B56,5,3))&amp;" =")</f>
        <v>_O7 =</v>
      </c>
      <c r="K56" s="161">
        <f>IF((MID(B56,5,3))="___","None",(MID(C56,5,3))+D56+E56+F56+G56)</f>
        <v>323</v>
      </c>
      <c r="L56" s="160" t="str">
        <f>IF((MID(B56,9,3))="___","None",(MID(B56,9,3))&amp;" =")</f>
        <v>_09 =</v>
      </c>
      <c r="M56" s="162">
        <f>IF((MID(B56,9,3))="___","None",(MID(C56,9,3))+D56+E56+F56+G56)</f>
        <v>323</v>
      </c>
      <c r="O56" s="230">
        <v>1</v>
      </c>
      <c r="P56" s="227" t="str">
        <f aca="true" t="shared" si="24" ref="P56:P78">IF((MID(B56,1,3))="___","",(MID(B56,1,3))&amp;" =")</f>
        <v>_M7 =</v>
      </c>
      <c r="Q56" s="206">
        <v>1</v>
      </c>
      <c r="R56" s="207">
        <v>-4</v>
      </c>
      <c r="S56" s="208" t="str">
        <f aca="true" t="shared" si="25" ref="S56:S78">IF((MID(B56,5,3))="___","",(MID(B56,5,3))&amp;" =")</f>
        <v>_O7 =</v>
      </c>
      <c r="T56" s="206">
        <v>1</v>
      </c>
      <c r="U56" s="209">
        <v>0</v>
      </c>
      <c r="V56" s="208" t="str">
        <f aca="true" t="shared" si="26" ref="V56:V78">IF((MID(B56,9,3))="___","",(MID(B56,9,3))&amp;" =")</f>
        <v>_09 =</v>
      </c>
      <c r="W56" s="206">
        <v>1</v>
      </c>
      <c r="X56" s="210">
        <v>4</v>
      </c>
      <c r="Z56" s="312">
        <v>240.5</v>
      </c>
      <c r="AA56" s="295">
        <v>1</v>
      </c>
      <c r="AB56" s="313">
        <v>3</v>
      </c>
    </row>
    <row r="57" spans="1:28" ht="13.5" thickBot="1">
      <c r="A57" s="140">
        <f>'Tape lengths'!D58</f>
        <v>1</v>
      </c>
      <c r="B57" s="6" t="str">
        <f>'Tape lengths'!F58</f>
        <v>_M6/_O8/_M8</v>
      </c>
      <c r="C57" s="156" t="str">
        <f aca="true" t="shared" si="27" ref="C57:C78">C3</f>
        <v>190/190/190</v>
      </c>
      <c r="D57" s="6">
        <v>25</v>
      </c>
      <c r="E57" s="6">
        <v>106.5</v>
      </c>
      <c r="F57" s="30">
        <v>2</v>
      </c>
      <c r="G57" s="303">
        <v>43.5</v>
      </c>
      <c r="H57" s="163" t="str">
        <f>IF((MID(B57,1,3))="___","None",(MID(B57,1,3))&amp;" =")</f>
        <v>_M6 =</v>
      </c>
      <c r="I57" s="164">
        <f>IF((MID(B57,1,3))="___","None",(MID(C57,1,3))+D57+E57+F57+G57)</f>
        <v>367</v>
      </c>
      <c r="J57" s="163" t="str">
        <f>IF((MID(B57,5,3))="___","None",(MID(B57,5,3))&amp;" =")</f>
        <v>_O8 =</v>
      </c>
      <c r="K57" s="164">
        <f>IF((MID(B57,5,3))="___","None",(MID(C57,5,3))+D57+E57+F57+G57)</f>
        <v>367</v>
      </c>
      <c r="L57" s="163" t="str">
        <f>IF((MID(B57,9,3))="___","None",(MID(B57,9,3))&amp;" =")</f>
        <v>_M8 =</v>
      </c>
      <c r="M57" s="165">
        <f>IF((MID(B57,9,3))="___","None",(MID(C57,9,3))+D57+E57+F57+G57)</f>
        <v>367</v>
      </c>
      <c r="O57" s="237">
        <v>1</v>
      </c>
      <c r="P57" s="238" t="str">
        <f t="shared" si="24"/>
        <v>_M6 =</v>
      </c>
      <c r="Q57" s="239">
        <v>1</v>
      </c>
      <c r="R57" s="240">
        <v>-5</v>
      </c>
      <c r="S57" s="241" t="str">
        <f t="shared" si="25"/>
        <v>_O8 =</v>
      </c>
      <c r="T57" s="239">
        <v>1</v>
      </c>
      <c r="U57" s="242">
        <v>-1</v>
      </c>
      <c r="V57" s="241" t="str">
        <f t="shared" si="26"/>
        <v>_M8 =</v>
      </c>
      <c r="W57" s="239">
        <v>1</v>
      </c>
      <c r="X57" s="243">
        <v>5</v>
      </c>
      <c r="Z57" s="312">
        <v>249.5</v>
      </c>
      <c r="AA57" s="295">
        <v>2</v>
      </c>
      <c r="AB57" s="313">
        <v>3</v>
      </c>
    </row>
    <row r="58" spans="1:28" ht="12.75">
      <c r="A58" s="145">
        <f>'Tape lengths'!D59</f>
        <v>2</v>
      </c>
      <c r="B58" s="3" t="str">
        <f>'Tape lengths'!F59</f>
        <v>_M7/_I6/_I7</v>
      </c>
      <c r="C58" s="157" t="str">
        <f t="shared" si="27"/>
        <v>195/195/195</v>
      </c>
      <c r="D58" s="3">
        <v>25</v>
      </c>
      <c r="E58" s="3">
        <v>18.5</v>
      </c>
      <c r="F58" s="147">
        <v>2</v>
      </c>
      <c r="G58" s="304"/>
      <c r="H58" s="166" t="str">
        <f aca="true" t="shared" si="28" ref="H58:H78">IF((MID(B58,1,3))="___","None",(MID(B58,1,3))&amp;" =")</f>
        <v>_M7 =</v>
      </c>
      <c r="I58" s="167">
        <f aca="true" t="shared" si="29" ref="I58:I78">IF((MID(B58,1,3))="___","None",(MID(C58,1,3))+D58+E58+F58)</f>
        <v>240.5</v>
      </c>
      <c r="J58" s="166" t="str">
        <f aca="true" t="shared" si="30" ref="J58:J78">IF((MID(B58,5,3))="___","None",(MID(B58,5,3))&amp;" =")</f>
        <v>_I6 =</v>
      </c>
      <c r="K58" s="167">
        <f aca="true" t="shared" si="31" ref="K58:K78">IF((MID(B58,5,3))="___","None",(MID(C58,5,3))+D58+E58+F58)</f>
        <v>240.5</v>
      </c>
      <c r="L58" s="166" t="str">
        <f aca="true" t="shared" si="32" ref="L58:L78">IF((MID(B58,9,3))="___","None",(MID(B58,9,3))&amp;" =")</f>
        <v>_I7 =</v>
      </c>
      <c r="M58" s="168">
        <f aca="true" t="shared" si="33" ref="M58:M78">IF((MID(B58,9,3))="___","None",(MID(C58,9,3))+D58+E58+F58)</f>
        <v>240.5</v>
      </c>
      <c r="O58" s="232">
        <v>2</v>
      </c>
      <c r="P58" s="233" t="str">
        <f t="shared" si="24"/>
        <v>_M7 =</v>
      </c>
      <c r="Q58" s="204">
        <v>1</v>
      </c>
      <c r="R58" s="205">
        <v>-6</v>
      </c>
      <c r="S58" s="234" t="str">
        <f t="shared" si="25"/>
        <v>_I6 =</v>
      </c>
      <c r="T58" s="204">
        <v>1</v>
      </c>
      <c r="U58" s="235">
        <v>1</v>
      </c>
      <c r="V58" s="234" t="str">
        <f t="shared" si="26"/>
        <v>_I7 =</v>
      </c>
      <c r="W58" s="204">
        <v>1</v>
      </c>
      <c r="X58" s="236">
        <v>6</v>
      </c>
      <c r="Z58" s="312">
        <v>257.5</v>
      </c>
      <c r="AA58" s="295">
        <v>3</v>
      </c>
      <c r="AB58" s="313">
        <v>3</v>
      </c>
    </row>
    <row r="59" spans="1:28" ht="12.75">
      <c r="A59" s="140">
        <f>'Tape lengths'!D60</f>
        <v>2</v>
      </c>
      <c r="B59" s="6" t="str">
        <f>'Tape lengths'!F60</f>
        <v>_M6/_O8/_M8</v>
      </c>
      <c r="C59" s="156" t="str">
        <f t="shared" si="27"/>
        <v>195/195/195</v>
      </c>
      <c r="D59" s="6">
        <v>25</v>
      </c>
      <c r="E59" s="6">
        <v>62.5</v>
      </c>
      <c r="F59" s="30">
        <v>2</v>
      </c>
      <c r="G59" s="305"/>
      <c r="H59" s="163" t="str">
        <f t="shared" si="28"/>
        <v>_M6 =</v>
      </c>
      <c r="I59" s="164">
        <f t="shared" si="29"/>
        <v>284.5</v>
      </c>
      <c r="J59" s="163" t="str">
        <f t="shared" si="30"/>
        <v>_O8 =</v>
      </c>
      <c r="K59" s="164">
        <f t="shared" si="31"/>
        <v>284.5</v>
      </c>
      <c r="L59" s="163" t="str">
        <f t="shared" si="32"/>
        <v>_M8 =</v>
      </c>
      <c r="M59" s="165">
        <f t="shared" si="33"/>
        <v>284.5</v>
      </c>
      <c r="O59" s="230">
        <v>2</v>
      </c>
      <c r="P59" s="227" t="str">
        <f t="shared" si="24"/>
        <v>_M6 =</v>
      </c>
      <c r="Q59" s="206">
        <v>1</v>
      </c>
      <c r="R59" s="207">
        <v>-7</v>
      </c>
      <c r="S59" s="208" t="str">
        <f t="shared" si="25"/>
        <v>_O8 =</v>
      </c>
      <c r="T59" s="206">
        <v>1</v>
      </c>
      <c r="U59" s="209">
        <v>-2</v>
      </c>
      <c r="V59" s="208" t="str">
        <f t="shared" si="26"/>
        <v>_M8 =</v>
      </c>
      <c r="W59" s="206">
        <v>1</v>
      </c>
      <c r="X59" s="210">
        <v>7</v>
      </c>
      <c r="Z59" s="312">
        <v>268.5</v>
      </c>
      <c r="AA59" s="295">
        <v>4</v>
      </c>
      <c r="AB59" s="313">
        <v>3</v>
      </c>
    </row>
    <row r="60" spans="1:28" ht="13.5" thickBot="1">
      <c r="A60" s="140">
        <f>'Tape lengths'!D61</f>
        <v>2</v>
      </c>
      <c r="B60" s="6" t="str">
        <f>'Tape lengths'!F61</f>
        <v>___/_O7/_09</v>
      </c>
      <c r="C60" s="156" t="str">
        <f t="shared" si="27"/>
        <v>195/195/195</v>
      </c>
      <c r="D60" s="6">
        <v>25</v>
      </c>
      <c r="E60" s="6">
        <v>106.5</v>
      </c>
      <c r="F60" s="30">
        <v>2</v>
      </c>
      <c r="G60" s="305"/>
      <c r="H60" s="163" t="str">
        <f t="shared" si="28"/>
        <v>None</v>
      </c>
      <c r="I60" s="164" t="str">
        <f t="shared" si="29"/>
        <v>None</v>
      </c>
      <c r="J60" s="163" t="str">
        <f t="shared" si="30"/>
        <v>_O7 =</v>
      </c>
      <c r="K60" s="164">
        <f t="shared" si="31"/>
        <v>328.5</v>
      </c>
      <c r="L60" s="163" t="str">
        <f t="shared" si="32"/>
        <v>_09 =</v>
      </c>
      <c r="M60" s="165">
        <f t="shared" si="33"/>
        <v>328.5</v>
      </c>
      <c r="O60" s="237">
        <v>2</v>
      </c>
      <c r="P60" s="238">
        <f t="shared" si="24"/>
      </c>
      <c r="Q60" s="239"/>
      <c r="R60" s="240"/>
      <c r="S60" s="241" t="str">
        <f t="shared" si="25"/>
        <v>_O7 =</v>
      </c>
      <c r="T60" s="239">
        <v>1</v>
      </c>
      <c r="U60" s="242">
        <v>2</v>
      </c>
      <c r="V60" s="241" t="str">
        <f t="shared" si="26"/>
        <v>_09 =</v>
      </c>
      <c r="W60" s="239">
        <v>1</v>
      </c>
      <c r="X60" s="243">
        <v>8</v>
      </c>
      <c r="Z60" s="312">
        <v>278.5</v>
      </c>
      <c r="AA60" s="295">
        <v>5</v>
      </c>
      <c r="AB60" s="313">
        <v>3</v>
      </c>
    </row>
    <row r="61" spans="1:28" ht="12.75">
      <c r="A61" s="145">
        <f>'Tape lengths'!D62</f>
        <v>3</v>
      </c>
      <c r="B61" s="3" t="str">
        <f>'Tape lengths'!F62</f>
        <v>_M7/_I6/_I7</v>
      </c>
      <c r="C61" s="157" t="str">
        <f t="shared" si="27"/>
        <v>204/204/204</v>
      </c>
      <c r="D61" s="3">
        <v>25</v>
      </c>
      <c r="E61" s="3">
        <v>18.5</v>
      </c>
      <c r="F61" s="147">
        <v>2</v>
      </c>
      <c r="G61" s="304"/>
      <c r="H61" s="169" t="str">
        <f t="shared" si="28"/>
        <v>_M7 =</v>
      </c>
      <c r="I61" s="170">
        <f t="shared" si="29"/>
        <v>249.5</v>
      </c>
      <c r="J61" s="169" t="str">
        <f t="shared" si="30"/>
        <v>_I6 =</v>
      </c>
      <c r="K61" s="170">
        <f t="shared" si="31"/>
        <v>249.5</v>
      </c>
      <c r="L61" s="169" t="str">
        <f t="shared" si="32"/>
        <v>_I7 =</v>
      </c>
      <c r="M61" s="171">
        <f t="shared" si="33"/>
        <v>249.5</v>
      </c>
      <c r="O61" s="230">
        <v>3</v>
      </c>
      <c r="P61" s="244" t="str">
        <f t="shared" si="24"/>
        <v>_M7 =</v>
      </c>
      <c r="Q61" s="152">
        <v>2</v>
      </c>
      <c r="R61" s="245">
        <v>-5</v>
      </c>
      <c r="S61" s="246" t="str">
        <f t="shared" si="25"/>
        <v>_I6 =</v>
      </c>
      <c r="T61" s="152">
        <v>2</v>
      </c>
      <c r="U61" s="247">
        <v>0</v>
      </c>
      <c r="V61" s="246" t="str">
        <f t="shared" si="26"/>
        <v>_I7 =</v>
      </c>
      <c r="W61" s="152">
        <v>2</v>
      </c>
      <c r="X61" s="248">
        <v>3</v>
      </c>
      <c r="Z61" s="312">
        <v>284.5</v>
      </c>
      <c r="AA61" s="295">
        <v>6</v>
      </c>
      <c r="AB61" s="313">
        <v>3</v>
      </c>
    </row>
    <row r="62" spans="1:28" ht="12.75">
      <c r="A62" s="140">
        <f>'Tape lengths'!D63</f>
        <v>3</v>
      </c>
      <c r="B62" s="6" t="str">
        <f>'Tape lengths'!F63</f>
        <v>_M6/_O8/_M8</v>
      </c>
      <c r="C62" s="156" t="str">
        <f t="shared" si="27"/>
        <v>204/204/204</v>
      </c>
      <c r="D62" s="6">
        <v>25</v>
      </c>
      <c r="E62" s="6">
        <v>62.5</v>
      </c>
      <c r="F62" s="30">
        <v>2</v>
      </c>
      <c r="G62" s="305"/>
      <c r="H62" s="172" t="str">
        <f t="shared" si="28"/>
        <v>_M6 =</v>
      </c>
      <c r="I62" s="173">
        <f t="shared" si="29"/>
        <v>293.5</v>
      </c>
      <c r="J62" s="172" t="str">
        <f t="shared" si="30"/>
        <v>_O8 =</v>
      </c>
      <c r="K62" s="173">
        <f t="shared" si="31"/>
        <v>293.5</v>
      </c>
      <c r="L62" s="172" t="str">
        <f t="shared" si="32"/>
        <v>_M8 =</v>
      </c>
      <c r="M62" s="174">
        <f t="shared" si="33"/>
        <v>293.5</v>
      </c>
      <c r="O62" s="230">
        <v>3</v>
      </c>
      <c r="P62" s="211" t="str">
        <f t="shared" si="24"/>
        <v>_M6 =</v>
      </c>
      <c r="Q62" s="153">
        <v>2</v>
      </c>
      <c r="R62" s="212">
        <v>-6</v>
      </c>
      <c r="S62" s="213" t="str">
        <f t="shared" si="25"/>
        <v>_O8 =</v>
      </c>
      <c r="T62" s="153">
        <v>2</v>
      </c>
      <c r="U62" s="214">
        <v>-1</v>
      </c>
      <c r="V62" s="213" t="str">
        <f t="shared" si="26"/>
        <v>_M8 =</v>
      </c>
      <c r="W62" s="153">
        <v>2</v>
      </c>
      <c r="X62" s="215">
        <v>4</v>
      </c>
      <c r="Z62" s="314">
        <v>290.5</v>
      </c>
      <c r="AA62" s="295" t="s">
        <v>213</v>
      </c>
      <c r="AB62" s="313"/>
    </row>
    <row r="63" spans="1:28" ht="13.5" thickBot="1">
      <c r="A63" s="140">
        <f>'Tape lengths'!D64</f>
        <v>3</v>
      </c>
      <c r="B63" s="6" t="str">
        <f>'Tape lengths'!F64</f>
        <v>___/_O7/_09</v>
      </c>
      <c r="C63" s="156" t="str">
        <f t="shared" si="27"/>
        <v>204/204/204</v>
      </c>
      <c r="D63" s="6">
        <v>25</v>
      </c>
      <c r="E63" s="6">
        <v>106.5</v>
      </c>
      <c r="F63" s="30">
        <v>2</v>
      </c>
      <c r="G63" s="305"/>
      <c r="H63" s="172" t="str">
        <f t="shared" si="28"/>
        <v>None</v>
      </c>
      <c r="I63" s="173" t="str">
        <f t="shared" si="29"/>
        <v>None</v>
      </c>
      <c r="J63" s="172" t="str">
        <f t="shared" si="30"/>
        <v>_O7 =</v>
      </c>
      <c r="K63" s="173">
        <f t="shared" si="31"/>
        <v>337.5</v>
      </c>
      <c r="L63" s="172" t="str">
        <f t="shared" si="32"/>
        <v>_09 =</v>
      </c>
      <c r="M63" s="174">
        <f t="shared" si="33"/>
        <v>337.5</v>
      </c>
      <c r="O63" s="237">
        <v>3</v>
      </c>
      <c r="P63" s="249">
        <f t="shared" si="24"/>
      </c>
      <c r="Q63" s="250"/>
      <c r="R63" s="251"/>
      <c r="S63" s="252" t="str">
        <f t="shared" si="25"/>
        <v>_O7 =</v>
      </c>
      <c r="T63" s="250">
        <v>2</v>
      </c>
      <c r="U63" s="253">
        <v>1</v>
      </c>
      <c r="V63" s="252" t="str">
        <f t="shared" si="26"/>
        <v>_09 =</v>
      </c>
      <c r="W63" s="250">
        <v>2</v>
      </c>
      <c r="X63" s="254">
        <v>5</v>
      </c>
      <c r="Z63" s="315">
        <v>293.5</v>
      </c>
      <c r="AA63" s="295">
        <v>7</v>
      </c>
      <c r="AB63" s="313">
        <v>6</v>
      </c>
    </row>
    <row r="64" spans="1:28" ht="12.75">
      <c r="A64" s="145">
        <f>'Tape lengths'!D65</f>
        <v>4</v>
      </c>
      <c r="B64" s="3" t="str">
        <f>'Tape lengths'!F65</f>
        <v>_M7/_I6/_I7</v>
      </c>
      <c r="C64" s="157" t="str">
        <f t="shared" si="27"/>
        <v>212/212/212</v>
      </c>
      <c r="D64" s="3">
        <v>25</v>
      </c>
      <c r="E64" s="3">
        <v>18.5</v>
      </c>
      <c r="F64" s="147">
        <v>2</v>
      </c>
      <c r="G64" s="304"/>
      <c r="H64" s="169" t="str">
        <f t="shared" si="28"/>
        <v>_M7 =</v>
      </c>
      <c r="I64" s="170">
        <f t="shared" si="29"/>
        <v>257.5</v>
      </c>
      <c r="J64" s="169" t="str">
        <f t="shared" si="30"/>
        <v>_I6 =</v>
      </c>
      <c r="K64" s="170">
        <f t="shared" si="31"/>
        <v>257.5</v>
      </c>
      <c r="L64" s="169" t="str">
        <f t="shared" si="32"/>
        <v>_I7 =</v>
      </c>
      <c r="M64" s="171">
        <f t="shared" si="33"/>
        <v>257.5</v>
      </c>
      <c r="O64" s="230">
        <v>4</v>
      </c>
      <c r="P64" s="244" t="str">
        <f t="shared" si="24"/>
        <v>_M7 =</v>
      </c>
      <c r="Q64" s="152">
        <v>2</v>
      </c>
      <c r="R64" s="245">
        <v>-7</v>
      </c>
      <c r="S64" s="246" t="str">
        <f t="shared" si="25"/>
        <v>_I6 =</v>
      </c>
      <c r="T64" s="152">
        <v>2</v>
      </c>
      <c r="U64" s="247">
        <v>-2</v>
      </c>
      <c r="V64" s="246" t="str">
        <f t="shared" si="26"/>
        <v>_I7 =</v>
      </c>
      <c r="W64" s="152">
        <v>2</v>
      </c>
      <c r="X64" s="248">
        <v>6</v>
      </c>
      <c r="Z64" s="314">
        <v>301.5</v>
      </c>
      <c r="AA64" s="295" t="s">
        <v>213</v>
      </c>
      <c r="AB64" s="313"/>
    </row>
    <row r="65" spans="1:28" ht="12.75">
      <c r="A65" s="140">
        <f>'Tape lengths'!D66</f>
        <v>4</v>
      </c>
      <c r="B65" s="6" t="str">
        <f>'Tape lengths'!F66</f>
        <v>_M6/_O8/_M8</v>
      </c>
      <c r="C65" s="156" t="str">
        <f t="shared" si="27"/>
        <v>212/212/212</v>
      </c>
      <c r="D65" s="6">
        <v>25</v>
      </c>
      <c r="E65" s="6">
        <v>62.5</v>
      </c>
      <c r="F65" s="30">
        <v>2</v>
      </c>
      <c r="G65" s="305"/>
      <c r="H65" s="172" t="str">
        <f t="shared" si="28"/>
        <v>_M6 =</v>
      </c>
      <c r="I65" s="173">
        <f t="shared" si="29"/>
        <v>301.5</v>
      </c>
      <c r="J65" s="172" t="str">
        <f t="shared" si="30"/>
        <v>_O8 =</v>
      </c>
      <c r="K65" s="173">
        <f t="shared" si="31"/>
        <v>301.5</v>
      </c>
      <c r="L65" s="172" t="str">
        <f t="shared" si="32"/>
        <v>_M8 =</v>
      </c>
      <c r="M65" s="174">
        <f t="shared" si="33"/>
        <v>301.5</v>
      </c>
      <c r="O65" s="230">
        <v>4</v>
      </c>
      <c r="P65" s="211" t="str">
        <f t="shared" si="24"/>
        <v>_M6 =</v>
      </c>
      <c r="Q65" s="153">
        <v>2</v>
      </c>
      <c r="R65" s="212">
        <v>-8</v>
      </c>
      <c r="S65" s="213" t="str">
        <f t="shared" si="25"/>
        <v>_O8 =</v>
      </c>
      <c r="T65" s="153">
        <v>2</v>
      </c>
      <c r="U65" s="214">
        <v>2</v>
      </c>
      <c r="V65" s="213" t="str">
        <f t="shared" si="26"/>
        <v>_M8 =</v>
      </c>
      <c r="W65" s="153">
        <v>2</v>
      </c>
      <c r="X65" s="215">
        <v>7</v>
      </c>
      <c r="Z65" s="315">
        <v>301.5</v>
      </c>
      <c r="AA65" s="295">
        <v>8</v>
      </c>
      <c r="AB65" s="313">
        <v>6</v>
      </c>
    </row>
    <row r="66" spans="1:28" ht="13.5" thickBot="1">
      <c r="A66" s="140">
        <f>'Tape lengths'!D67</f>
        <v>4</v>
      </c>
      <c r="B66" s="6" t="str">
        <f>'Tape lengths'!F67</f>
        <v>___/_O7/_09</v>
      </c>
      <c r="C66" s="156" t="str">
        <f t="shared" si="27"/>
        <v>215/223/215</v>
      </c>
      <c r="D66" s="6">
        <v>25</v>
      </c>
      <c r="E66" s="6">
        <v>106.5</v>
      </c>
      <c r="F66" s="30">
        <v>2</v>
      </c>
      <c r="G66" s="305"/>
      <c r="H66" s="172" t="str">
        <f t="shared" si="28"/>
        <v>None</v>
      </c>
      <c r="I66" s="173" t="str">
        <f t="shared" si="29"/>
        <v>None</v>
      </c>
      <c r="J66" s="175" t="str">
        <f t="shared" si="30"/>
        <v>_O7 =</v>
      </c>
      <c r="K66" s="176">
        <f t="shared" si="31"/>
        <v>356.5</v>
      </c>
      <c r="L66" s="172" t="str">
        <f t="shared" si="32"/>
        <v>_09 =</v>
      </c>
      <c r="M66" s="174">
        <f t="shared" si="33"/>
        <v>348.5</v>
      </c>
      <c r="O66" s="237">
        <v>4</v>
      </c>
      <c r="P66" s="249">
        <f t="shared" si="24"/>
      </c>
      <c r="Q66" s="250"/>
      <c r="R66" s="251"/>
      <c r="S66" s="255" t="str">
        <f t="shared" si="25"/>
        <v>_O7 =</v>
      </c>
      <c r="T66" s="256">
        <v>3</v>
      </c>
      <c r="U66" s="257">
        <v>0</v>
      </c>
      <c r="V66" s="252" t="str">
        <f t="shared" si="26"/>
        <v>_09 =</v>
      </c>
      <c r="W66" s="250">
        <v>2</v>
      </c>
      <c r="X66" s="254">
        <v>8</v>
      </c>
      <c r="Z66" s="314">
        <v>312.5</v>
      </c>
      <c r="AA66" s="295" t="s">
        <v>213</v>
      </c>
      <c r="AB66" s="313"/>
    </row>
    <row r="67" spans="1:28" ht="12.75">
      <c r="A67" s="145">
        <f>'Tape lengths'!D68</f>
        <v>5</v>
      </c>
      <c r="B67" s="3" t="str">
        <f>'Tape lengths'!F68</f>
        <v>_M7/_I6/_I7</v>
      </c>
      <c r="C67" s="157" t="str">
        <f t="shared" si="27"/>
        <v>223/223/223</v>
      </c>
      <c r="D67" s="3">
        <v>25</v>
      </c>
      <c r="E67" s="3">
        <v>18.5</v>
      </c>
      <c r="F67" s="147">
        <v>2</v>
      </c>
      <c r="G67" s="304"/>
      <c r="H67" s="177" t="str">
        <f t="shared" si="28"/>
        <v>_M7 =</v>
      </c>
      <c r="I67" s="178">
        <f t="shared" si="29"/>
        <v>268.5</v>
      </c>
      <c r="J67" s="177" t="str">
        <f t="shared" si="30"/>
        <v>_I6 =</v>
      </c>
      <c r="K67" s="178">
        <f t="shared" si="31"/>
        <v>268.5</v>
      </c>
      <c r="L67" s="177" t="str">
        <f t="shared" si="32"/>
        <v>_I7 =</v>
      </c>
      <c r="M67" s="179">
        <f t="shared" si="33"/>
        <v>268.5</v>
      </c>
      <c r="O67" s="230">
        <v>5</v>
      </c>
      <c r="P67" s="258" t="str">
        <f t="shared" si="24"/>
        <v>_M7 =</v>
      </c>
      <c r="Q67" s="259">
        <v>3</v>
      </c>
      <c r="R67" s="260">
        <v>-5</v>
      </c>
      <c r="S67" s="261" t="str">
        <f t="shared" si="25"/>
        <v>_I6 =</v>
      </c>
      <c r="T67" s="259">
        <v>3</v>
      </c>
      <c r="U67" s="262">
        <v>-1</v>
      </c>
      <c r="V67" s="261" t="str">
        <f t="shared" si="26"/>
        <v>_I7 =</v>
      </c>
      <c r="W67" s="259">
        <v>3</v>
      </c>
      <c r="X67" s="263">
        <v>4</v>
      </c>
      <c r="Z67" s="315">
        <v>313.5</v>
      </c>
      <c r="AA67" s="295">
        <v>9</v>
      </c>
      <c r="AB67" s="313">
        <v>3</v>
      </c>
    </row>
    <row r="68" spans="1:28" ht="12.75">
      <c r="A68" s="140">
        <f>'Tape lengths'!D69</f>
        <v>5</v>
      </c>
      <c r="B68" s="6" t="str">
        <f>'Tape lengths'!F69</f>
        <v>_M6/_O8/_M8</v>
      </c>
      <c r="C68" s="156" t="str">
        <f t="shared" si="27"/>
        <v>223/223/223</v>
      </c>
      <c r="D68" s="6">
        <v>25</v>
      </c>
      <c r="E68" s="6">
        <v>62.5</v>
      </c>
      <c r="F68" s="30">
        <v>2</v>
      </c>
      <c r="G68" s="305"/>
      <c r="H68" s="175" t="str">
        <f t="shared" si="28"/>
        <v>_M6 =</v>
      </c>
      <c r="I68" s="176">
        <f t="shared" si="29"/>
        <v>312.5</v>
      </c>
      <c r="J68" s="175" t="str">
        <f t="shared" si="30"/>
        <v>_O8 =</v>
      </c>
      <c r="K68" s="176">
        <f t="shared" si="31"/>
        <v>312.5</v>
      </c>
      <c r="L68" s="175" t="str">
        <f t="shared" si="32"/>
        <v>_M8 =</v>
      </c>
      <c r="M68" s="180">
        <f t="shared" si="33"/>
        <v>312.5</v>
      </c>
      <c r="O68" s="230">
        <v>5</v>
      </c>
      <c r="P68" s="216" t="str">
        <f t="shared" si="24"/>
        <v>_M6 =</v>
      </c>
      <c r="Q68" s="217">
        <v>3</v>
      </c>
      <c r="R68" s="218">
        <v>-6</v>
      </c>
      <c r="S68" s="219" t="str">
        <f t="shared" si="25"/>
        <v>_O8 =</v>
      </c>
      <c r="T68" s="217">
        <v>3</v>
      </c>
      <c r="U68" s="220">
        <v>1</v>
      </c>
      <c r="V68" s="219" t="str">
        <f t="shared" si="26"/>
        <v>_M8 =</v>
      </c>
      <c r="W68" s="217">
        <v>3</v>
      </c>
      <c r="X68" s="221">
        <v>5</v>
      </c>
      <c r="Z68" s="314">
        <v>322.5</v>
      </c>
      <c r="AA68" s="295" t="s">
        <v>213</v>
      </c>
      <c r="AB68" s="313"/>
    </row>
    <row r="69" spans="1:28" ht="13.5" thickBot="1">
      <c r="A69" s="140">
        <f>'Tape lengths'!D70</f>
        <v>5</v>
      </c>
      <c r="B69" s="6" t="str">
        <f>'Tape lengths'!F70</f>
        <v>___/_O7/_09</v>
      </c>
      <c r="C69" s="156" t="str">
        <f t="shared" si="27"/>
        <v>223/223/223</v>
      </c>
      <c r="D69" s="6">
        <v>25</v>
      </c>
      <c r="E69" s="6">
        <v>106.5</v>
      </c>
      <c r="F69" s="30">
        <v>2</v>
      </c>
      <c r="G69" s="305"/>
      <c r="H69" s="175" t="str">
        <f t="shared" si="28"/>
        <v>None</v>
      </c>
      <c r="I69" s="176" t="str">
        <f t="shared" si="29"/>
        <v>None</v>
      </c>
      <c r="J69" s="175" t="str">
        <f t="shared" si="30"/>
        <v>_O7 =</v>
      </c>
      <c r="K69" s="176">
        <f t="shared" si="31"/>
        <v>356.5</v>
      </c>
      <c r="L69" s="175" t="str">
        <f t="shared" si="32"/>
        <v>_09 =</v>
      </c>
      <c r="M69" s="180">
        <f t="shared" si="33"/>
        <v>356.5</v>
      </c>
      <c r="O69" s="237">
        <v>5</v>
      </c>
      <c r="P69" s="264">
        <f t="shared" si="24"/>
      </c>
      <c r="Q69" s="256"/>
      <c r="R69" s="265"/>
      <c r="S69" s="255" t="str">
        <f t="shared" si="25"/>
        <v>_O7 =</v>
      </c>
      <c r="T69" s="256">
        <v>3</v>
      </c>
      <c r="U69" s="257">
        <v>-2</v>
      </c>
      <c r="V69" s="255" t="str">
        <f t="shared" si="26"/>
        <v>_09 =</v>
      </c>
      <c r="W69" s="256">
        <v>3</v>
      </c>
      <c r="X69" s="266">
        <v>6</v>
      </c>
      <c r="Z69" s="315">
        <v>323</v>
      </c>
      <c r="AA69" s="295">
        <v>10</v>
      </c>
      <c r="AB69" s="313">
        <v>6</v>
      </c>
    </row>
    <row r="70" spans="1:28" ht="12.75">
      <c r="A70" s="145">
        <f>'Tape lengths'!D71</f>
        <v>6</v>
      </c>
      <c r="B70" s="3" t="str">
        <f>'Tape lengths'!F71</f>
        <v>_M7/_I6/_I7</v>
      </c>
      <c r="C70" s="157" t="str">
        <f t="shared" si="27"/>
        <v>233/233/233</v>
      </c>
      <c r="D70" s="3">
        <v>25</v>
      </c>
      <c r="E70" s="3">
        <v>18.5</v>
      </c>
      <c r="F70" s="147">
        <v>2</v>
      </c>
      <c r="G70" s="304"/>
      <c r="H70" s="177" t="str">
        <f t="shared" si="28"/>
        <v>_M7 =</v>
      </c>
      <c r="I70" s="178">
        <f t="shared" si="29"/>
        <v>278.5</v>
      </c>
      <c r="J70" s="177" t="str">
        <f t="shared" si="30"/>
        <v>_I6 =</v>
      </c>
      <c r="K70" s="178">
        <f t="shared" si="31"/>
        <v>278.5</v>
      </c>
      <c r="L70" s="177" t="str">
        <f t="shared" si="32"/>
        <v>_I7 =</v>
      </c>
      <c r="M70" s="179">
        <f t="shared" si="33"/>
        <v>278.5</v>
      </c>
      <c r="O70" s="230">
        <v>6</v>
      </c>
      <c r="P70" s="258" t="str">
        <f t="shared" si="24"/>
        <v>_M7 =</v>
      </c>
      <c r="Q70" s="259">
        <v>3</v>
      </c>
      <c r="R70" s="260">
        <v>-7</v>
      </c>
      <c r="S70" s="261" t="str">
        <f t="shared" si="25"/>
        <v>_I6 =</v>
      </c>
      <c r="T70" s="259">
        <v>3</v>
      </c>
      <c r="U70" s="262">
        <v>2</v>
      </c>
      <c r="V70" s="261" t="str">
        <f t="shared" si="26"/>
        <v>_I7 =</v>
      </c>
      <c r="W70" s="259">
        <v>3</v>
      </c>
      <c r="X70" s="263">
        <v>7</v>
      </c>
      <c r="Z70" s="312">
        <v>328.5</v>
      </c>
      <c r="AA70" s="295">
        <v>11</v>
      </c>
      <c r="AB70" s="313">
        <v>2</v>
      </c>
    </row>
    <row r="71" spans="1:28" ht="12.75">
      <c r="A71" s="140">
        <f>'Tape lengths'!D72</f>
        <v>6</v>
      </c>
      <c r="B71" s="6" t="str">
        <f>'Tape lengths'!F72</f>
        <v>_M6/_O8/_M8</v>
      </c>
      <c r="C71" s="156" t="str">
        <f t="shared" si="27"/>
        <v>233/233/233</v>
      </c>
      <c r="D71" s="6">
        <v>25</v>
      </c>
      <c r="E71" s="6">
        <v>62.5</v>
      </c>
      <c r="F71" s="30">
        <v>2</v>
      </c>
      <c r="G71" s="305"/>
      <c r="H71" s="175" t="str">
        <f t="shared" si="28"/>
        <v>_M6 =</v>
      </c>
      <c r="I71" s="176">
        <f t="shared" si="29"/>
        <v>322.5</v>
      </c>
      <c r="J71" s="175" t="str">
        <f t="shared" si="30"/>
        <v>_O8 =</v>
      </c>
      <c r="K71" s="176">
        <f t="shared" si="31"/>
        <v>322.5</v>
      </c>
      <c r="L71" s="175" t="str">
        <f t="shared" si="32"/>
        <v>_M8 =</v>
      </c>
      <c r="M71" s="180">
        <f t="shared" si="33"/>
        <v>322.5</v>
      </c>
      <c r="O71" s="230">
        <v>6</v>
      </c>
      <c r="P71" s="216" t="str">
        <f t="shared" si="24"/>
        <v>_M6 =</v>
      </c>
      <c r="Q71" s="217">
        <v>3</v>
      </c>
      <c r="R71" s="218">
        <v>-8</v>
      </c>
      <c r="S71" s="219" t="str">
        <f t="shared" si="25"/>
        <v>_O8 =</v>
      </c>
      <c r="T71" s="217">
        <v>3</v>
      </c>
      <c r="U71" s="220">
        <v>-3</v>
      </c>
      <c r="V71" s="219" t="str">
        <f t="shared" si="26"/>
        <v>_M8 =</v>
      </c>
      <c r="W71" s="217">
        <v>3</v>
      </c>
      <c r="X71" s="221">
        <v>8</v>
      </c>
      <c r="Z71" s="314">
        <v>334.5</v>
      </c>
      <c r="AA71" s="295" t="s">
        <v>213</v>
      </c>
      <c r="AB71" s="313"/>
    </row>
    <row r="72" spans="1:28" ht="13.5" thickBot="1">
      <c r="A72" s="140">
        <f>'Tape lengths'!D73</f>
        <v>6</v>
      </c>
      <c r="B72" s="6" t="str">
        <f>'Tape lengths'!F73</f>
        <v>___/_O7/_09</v>
      </c>
      <c r="C72" s="156" t="str">
        <f t="shared" si="27"/>
        <v>233/235/233</v>
      </c>
      <c r="D72" s="6">
        <v>25</v>
      </c>
      <c r="E72" s="6">
        <v>106.5</v>
      </c>
      <c r="F72" s="30">
        <v>2</v>
      </c>
      <c r="G72" s="305"/>
      <c r="H72" s="181" t="str">
        <f t="shared" si="28"/>
        <v>None</v>
      </c>
      <c r="I72" s="183" t="str">
        <f t="shared" si="29"/>
        <v>None</v>
      </c>
      <c r="J72" s="175" t="str">
        <f t="shared" si="30"/>
        <v>_O7 =</v>
      </c>
      <c r="K72" s="176">
        <f t="shared" si="31"/>
        <v>368.5</v>
      </c>
      <c r="L72" s="181" t="str">
        <f t="shared" si="32"/>
        <v>_09 =</v>
      </c>
      <c r="M72" s="182">
        <f t="shared" si="33"/>
        <v>366.5</v>
      </c>
      <c r="O72" s="237">
        <v>6</v>
      </c>
      <c r="P72" s="267">
        <f t="shared" si="24"/>
      </c>
      <c r="Q72" s="268"/>
      <c r="R72" s="269"/>
      <c r="S72" s="255" t="str">
        <f t="shared" si="25"/>
        <v>_O7 =</v>
      </c>
      <c r="T72" s="256">
        <v>3</v>
      </c>
      <c r="U72" s="257">
        <v>3</v>
      </c>
      <c r="V72" s="270" t="str">
        <f t="shared" si="26"/>
        <v>_09 =</v>
      </c>
      <c r="W72" s="268">
        <v>4</v>
      </c>
      <c r="X72" s="271">
        <v>3</v>
      </c>
      <c r="Z72" s="315">
        <v>337.5</v>
      </c>
      <c r="AA72" s="295">
        <v>12</v>
      </c>
      <c r="AB72" s="313">
        <v>5</v>
      </c>
    </row>
    <row r="73" spans="1:28" ht="12.75">
      <c r="A73" s="145">
        <f>'Tape lengths'!D74</f>
        <v>7</v>
      </c>
      <c r="B73" s="3" t="str">
        <f>'Tape lengths'!F74</f>
        <v>_M7/_O7/_09</v>
      </c>
      <c r="C73" s="157" t="str">
        <f t="shared" si="27"/>
        <v>245/245/245</v>
      </c>
      <c r="D73" s="3">
        <v>25</v>
      </c>
      <c r="E73" s="3">
        <v>18.5</v>
      </c>
      <c r="F73" s="147">
        <v>2</v>
      </c>
      <c r="G73" s="304"/>
      <c r="H73" s="184" t="str">
        <f t="shared" si="28"/>
        <v>_M7 =</v>
      </c>
      <c r="I73" s="185">
        <f t="shared" si="29"/>
        <v>290.5</v>
      </c>
      <c r="J73" s="184" t="str">
        <f t="shared" si="30"/>
        <v>_O7 =</v>
      </c>
      <c r="K73" s="185">
        <f t="shared" si="31"/>
        <v>290.5</v>
      </c>
      <c r="L73" s="184" t="str">
        <f t="shared" si="32"/>
        <v>_09 =</v>
      </c>
      <c r="M73" s="186">
        <f t="shared" si="33"/>
        <v>290.5</v>
      </c>
      <c r="O73" s="230">
        <v>7</v>
      </c>
      <c r="P73" s="272" t="str">
        <f t="shared" si="24"/>
        <v>_M7 =</v>
      </c>
      <c r="Q73" s="151">
        <v>4</v>
      </c>
      <c r="R73" s="273">
        <v>-4</v>
      </c>
      <c r="S73" s="274" t="str">
        <f t="shared" si="25"/>
        <v>_O7 =</v>
      </c>
      <c r="T73" s="151">
        <v>4</v>
      </c>
      <c r="U73" s="275">
        <v>0</v>
      </c>
      <c r="V73" s="274" t="str">
        <f t="shared" si="26"/>
        <v>_09 =</v>
      </c>
      <c r="W73" s="151">
        <v>4</v>
      </c>
      <c r="X73" s="276">
        <v>4</v>
      </c>
      <c r="Z73" s="314">
        <v>345.5</v>
      </c>
      <c r="AA73" s="295" t="s">
        <v>213</v>
      </c>
      <c r="AB73" s="313"/>
    </row>
    <row r="74" spans="1:28" ht="13.5" thickBot="1">
      <c r="A74" s="140">
        <f>'Tape lengths'!D75</f>
        <v>7</v>
      </c>
      <c r="B74" s="6" t="str">
        <f>'Tape lengths'!F75</f>
        <v>_M6/_O8/_M8</v>
      </c>
      <c r="C74" s="156" t="str">
        <f t="shared" si="27"/>
        <v>245/245/245</v>
      </c>
      <c r="D74" s="6">
        <v>25</v>
      </c>
      <c r="E74" s="6">
        <v>62.5</v>
      </c>
      <c r="F74" s="30">
        <v>2</v>
      </c>
      <c r="G74" s="305"/>
      <c r="H74" s="181" t="str">
        <f t="shared" si="28"/>
        <v>_M6 =</v>
      </c>
      <c r="I74" s="183">
        <f t="shared" si="29"/>
        <v>334.5</v>
      </c>
      <c r="J74" s="181" t="str">
        <f t="shared" si="30"/>
        <v>_O8 =</v>
      </c>
      <c r="K74" s="183">
        <f t="shared" si="31"/>
        <v>334.5</v>
      </c>
      <c r="L74" s="181" t="str">
        <f t="shared" si="32"/>
        <v>_M8 =</v>
      </c>
      <c r="M74" s="182">
        <f t="shared" si="33"/>
        <v>334.5</v>
      </c>
      <c r="O74" s="237">
        <v>7</v>
      </c>
      <c r="P74" s="267" t="str">
        <f t="shared" si="24"/>
        <v>_M6 =</v>
      </c>
      <c r="Q74" s="268">
        <v>4</v>
      </c>
      <c r="R74" s="269">
        <v>-5</v>
      </c>
      <c r="S74" s="270" t="str">
        <f t="shared" si="25"/>
        <v>_O8 =</v>
      </c>
      <c r="T74" s="268">
        <v>4</v>
      </c>
      <c r="U74" s="277">
        <v>-1</v>
      </c>
      <c r="V74" s="270" t="str">
        <f t="shared" si="26"/>
        <v>_M8 =</v>
      </c>
      <c r="W74" s="268">
        <v>4</v>
      </c>
      <c r="X74" s="271">
        <v>5</v>
      </c>
      <c r="Z74" s="315">
        <v>348.5</v>
      </c>
      <c r="AA74" s="295">
        <v>13</v>
      </c>
      <c r="AB74" s="313">
        <v>4</v>
      </c>
    </row>
    <row r="75" spans="1:28" ht="12.75">
      <c r="A75" s="145">
        <f>'Tape lengths'!D76</f>
        <v>8</v>
      </c>
      <c r="B75" s="3" t="str">
        <f>'Tape lengths'!F76</f>
        <v>_M7/_O7/_09</v>
      </c>
      <c r="C75" s="157" t="str">
        <f t="shared" si="27"/>
        <v>256/256/256</v>
      </c>
      <c r="D75" s="3">
        <v>25</v>
      </c>
      <c r="E75" s="3">
        <v>18.5</v>
      </c>
      <c r="F75" s="147">
        <v>2</v>
      </c>
      <c r="G75" s="304"/>
      <c r="H75" s="187" t="str">
        <f t="shared" si="28"/>
        <v>_M7 =</v>
      </c>
      <c r="I75" s="188">
        <f t="shared" si="29"/>
        <v>301.5</v>
      </c>
      <c r="J75" s="187" t="str">
        <f t="shared" si="30"/>
        <v>_O7 =</v>
      </c>
      <c r="K75" s="188">
        <f t="shared" si="31"/>
        <v>301.5</v>
      </c>
      <c r="L75" s="187" t="str">
        <f t="shared" si="32"/>
        <v>_09 =</v>
      </c>
      <c r="M75" s="189">
        <f t="shared" si="33"/>
        <v>301.5</v>
      </c>
      <c r="O75" s="230">
        <v>8</v>
      </c>
      <c r="P75" s="282" t="str">
        <f t="shared" si="24"/>
        <v>_M7 =</v>
      </c>
      <c r="Q75" s="150">
        <v>4</v>
      </c>
      <c r="R75" s="283">
        <v>-6</v>
      </c>
      <c r="S75" s="284" t="str">
        <f t="shared" si="25"/>
        <v>_O7 =</v>
      </c>
      <c r="T75" s="150">
        <v>4</v>
      </c>
      <c r="U75" s="285">
        <v>1</v>
      </c>
      <c r="V75" s="284" t="str">
        <f t="shared" si="26"/>
        <v>_09 =</v>
      </c>
      <c r="W75" s="150">
        <v>4</v>
      </c>
      <c r="X75" s="286">
        <v>6</v>
      </c>
      <c r="Z75" s="314">
        <v>356.5</v>
      </c>
      <c r="AA75" s="295" t="s">
        <v>213</v>
      </c>
      <c r="AB75" s="313"/>
    </row>
    <row r="76" spans="1:28" ht="13.5" thickBot="1">
      <c r="A76" s="143">
        <f>'Tape lengths'!D77</f>
        <v>8</v>
      </c>
      <c r="B76" s="144" t="str">
        <f>'Tape lengths'!F77</f>
        <v>_M6/_O8/_M8</v>
      </c>
      <c r="C76" s="158" t="str">
        <f t="shared" si="27"/>
        <v>256/256/256</v>
      </c>
      <c r="D76" s="144">
        <v>25</v>
      </c>
      <c r="E76" s="6">
        <v>62.5</v>
      </c>
      <c r="F76" s="148">
        <v>2</v>
      </c>
      <c r="G76" s="306"/>
      <c r="H76" s="190" t="str">
        <f t="shared" si="28"/>
        <v>_M6 =</v>
      </c>
      <c r="I76" s="191">
        <f t="shared" si="29"/>
        <v>345.5</v>
      </c>
      <c r="J76" s="190" t="str">
        <f t="shared" si="30"/>
        <v>_O8 =</v>
      </c>
      <c r="K76" s="191">
        <f t="shared" si="31"/>
        <v>345.5</v>
      </c>
      <c r="L76" s="190" t="str">
        <f t="shared" si="32"/>
        <v>_M8 =</v>
      </c>
      <c r="M76" s="192">
        <f t="shared" si="33"/>
        <v>345.5</v>
      </c>
      <c r="O76" s="237">
        <v>8</v>
      </c>
      <c r="P76" s="287" t="str">
        <f t="shared" si="24"/>
        <v>_M6 =</v>
      </c>
      <c r="Q76" s="288">
        <v>4</v>
      </c>
      <c r="R76" s="289">
        <v>-7</v>
      </c>
      <c r="S76" s="290" t="str">
        <f t="shared" si="25"/>
        <v>_O8 =</v>
      </c>
      <c r="T76" s="288">
        <v>4</v>
      </c>
      <c r="U76" s="291">
        <v>-2</v>
      </c>
      <c r="V76" s="290" t="str">
        <f t="shared" si="26"/>
        <v>_M8 =</v>
      </c>
      <c r="W76" s="288">
        <v>4</v>
      </c>
      <c r="X76" s="292">
        <v>7</v>
      </c>
      <c r="Z76" s="315">
        <v>357.5</v>
      </c>
      <c r="AA76" s="295">
        <v>14</v>
      </c>
      <c r="AB76" s="313">
        <v>4</v>
      </c>
    </row>
    <row r="77" spans="1:28" ht="12.75">
      <c r="A77" s="145">
        <f>'Tape lengths'!D78</f>
        <v>9</v>
      </c>
      <c r="B77" s="3" t="str">
        <f>'Tape lengths'!F78</f>
        <v>___/___/___</v>
      </c>
      <c r="C77" s="157" t="str">
        <f t="shared" si="27"/>
        <v>268/268/268</v>
      </c>
      <c r="D77" s="3">
        <v>25</v>
      </c>
      <c r="E77" s="3">
        <v>18.5</v>
      </c>
      <c r="F77" s="147">
        <v>2</v>
      </c>
      <c r="G77" s="304"/>
      <c r="H77" s="193" t="str">
        <f t="shared" si="28"/>
        <v>None</v>
      </c>
      <c r="I77" s="194" t="str">
        <f t="shared" si="29"/>
        <v>None</v>
      </c>
      <c r="J77" s="193" t="str">
        <f t="shared" si="30"/>
        <v>None</v>
      </c>
      <c r="K77" s="194" t="str">
        <f t="shared" si="31"/>
        <v>None</v>
      </c>
      <c r="L77" s="193" t="str">
        <f t="shared" si="32"/>
        <v>None</v>
      </c>
      <c r="M77" s="195" t="str">
        <f t="shared" si="33"/>
        <v>None</v>
      </c>
      <c r="O77" s="230">
        <v>9</v>
      </c>
      <c r="P77" s="278">
        <f t="shared" si="24"/>
      </c>
      <c r="Q77" s="279"/>
      <c r="R77" s="280"/>
      <c r="S77" s="281">
        <f t="shared" si="25"/>
      </c>
      <c r="T77" s="279"/>
      <c r="U77" s="280"/>
      <c r="V77" s="281">
        <f t="shared" si="26"/>
      </c>
      <c r="W77" s="279"/>
      <c r="X77" s="294"/>
      <c r="Z77" s="314">
        <v>366.5</v>
      </c>
      <c r="AA77" s="295" t="s">
        <v>213</v>
      </c>
      <c r="AB77" s="313"/>
    </row>
    <row r="78" spans="1:28" ht="13.5" thickBot="1">
      <c r="A78" s="141">
        <f>'Tape lengths'!D79</f>
        <v>9</v>
      </c>
      <c r="B78" s="142" t="str">
        <f>'Tape lengths'!F79</f>
        <v>_O6/_O5/_O4</v>
      </c>
      <c r="C78" s="159" t="str">
        <f t="shared" si="27"/>
        <v>268/268/268</v>
      </c>
      <c r="D78" s="142">
        <v>25</v>
      </c>
      <c r="E78" s="149">
        <v>62.5</v>
      </c>
      <c r="F78" s="149">
        <v>2</v>
      </c>
      <c r="G78" s="307"/>
      <c r="H78" s="196" t="str">
        <f t="shared" si="28"/>
        <v>_O6 =</v>
      </c>
      <c r="I78" s="197">
        <f t="shared" si="29"/>
        <v>357.5</v>
      </c>
      <c r="J78" s="196" t="str">
        <f t="shared" si="30"/>
        <v>_O5 =</v>
      </c>
      <c r="K78" s="197">
        <f t="shared" si="31"/>
        <v>357.5</v>
      </c>
      <c r="L78" s="196" t="str">
        <f t="shared" si="32"/>
        <v>_O4 =</v>
      </c>
      <c r="M78" s="198">
        <f t="shared" si="33"/>
        <v>357.5</v>
      </c>
      <c r="O78" s="231">
        <v>9</v>
      </c>
      <c r="P78" s="228" t="str">
        <f t="shared" si="24"/>
        <v>_O6 =</v>
      </c>
      <c r="Q78" s="222">
        <v>4</v>
      </c>
      <c r="R78" s="223">
        <v>-8</v>
      </c>
      <c r="S78" s="224" t="str">
        <f t="shared" si="25"/>
        <v>_O5 =</v>
      </c>
      <c r="T78" s="222">
        <v>4</v>
      </c>
      <c r="U78" s="225">
        <v>2</v>
      </c>
      <c r="V78" s="224" t="str">
        <f t="shared" si="26"/>
        <v>_O4 =</v>
      </c>
      <c r="W78" s="222">
        <v>4</v>
      </c>
      <c r="X78" s="293">
        <v>8</v>
      </c>
      <c r="Z78" s="319">
        <v>367</v>
      </c>
      <c r="AA78" s="295" t="s">
        <v>213</v>
      </c>
      <c r="AB78" s="313"/>
    </row>
    <row r="79" spans="8:28" ht="13.5" thickTop="1">
      <c r="H79" s="135" t="s">
        <v>186</v>
      </c>
      <c r="I79" s="135"/>
      <c r="J79" s="131"/>
      <c r="K79" s="135"/>
      <c r="L79" s="131"/>
      <c r="M79" s="135"/>
      <c r="P79" s="135" t="s">
        <v>190</v>
      </c>
      <c r="Z79" s="315">
        <v>368.5</v>
      </c>
      <c r="AA79" s="308">
        <v>15</v>
      </c>
      <c r="AB79" s="320">
        <v>7</v>
      </c>
    </row>
    <row r="80" spans="8:28" ht="13.5" thickBot="1">
      <c r="H80" s="135" t="s">
        <v>187</v>
      </c>
      <c r="I80" s="135"/>
      <c r="J80" s="131"/>
      <c r="K80" s="135"/>
      <c r="L80" s="131"/>
      <c r="M80" s="135"/>
      <c r="P80" s="135" t="s">
        <v>191</v>
      </c>
      <c r="Z80" s="316"/>
      <c r="AA80" s="317" t="s">
        <v>214</v>
      </c>
      <c r="AB80" s="318">
        <f>SUM(AB56:AB79)</f>
        <v>61</v>
      </c>
    </row>
    <row r="81" spans="8:13" ht="12.75">
      <c r="H81" s="131"/>
      <c r="I81" s="135"/>
      <c r="J81" s="131"/>
      <c r="K81" s="135"/>
      <c r="L81" s="131"/>
      <c r="M81" s="135"/>
    </row>
    <row r="82" spans="8:25" ht="13.5" thickBot="1">
      <c r="H82" s="131"/>
      <c r="I82" s="135"/>
      <c r="J82" s="131"/>
      <c r="K82" s="135"/>
      <c r="L82" s="131"/>
      <c r="M82" s="135"/>
      <c r="Y82" s="134"/>
    </row>
    <row r="83" spans="1:28" s="134" customFormat="1" ht="103.5" thickBot="1" thickTop="1">
      <c r="A83" s="136" t="str">
        <f>A1</f>
        <v>Disc</v>
      </c>
      <c r="B83" s="137" t="str">
        <f>B1</f>
        <v>Modules</v>
      </c>
      <c r="C83" s="154" t="str">
        <f>C1</f>
        <v>Length from Clamp to PCB (mm, from CAD)</v>
      </c>
      <c r="D83" s="137" t="str">
        <f aca="true" t="shared" si="34" ref="D83:M83">D1</f>
        <v>Excess for short-connection (mm)</v>
      </c>
      <c r="E83" s="137" t="str">
        <f t="shared" si="34"/>
        <v>Length from edge of PCB to connector (mm)</v>
      </c>
      <c r="F83" s="137" t="str">
        <f t="shared" si="34"/>
        <v>Phi adjustment</v>
      </c>
      <c r="G83" s="137" t="str">
        <f t="shared" si="34"/>
        <v>Adjustment for 2-way PCB position in 3-way tray (D1 only)</v>
      </c>
      <c r="H83" s="137" t="str">
        <f t="shared" si="34"/>
        <v>Module @ LH PCB</v>
      </c>
      <c r="I83" s="137" t="str">
        <f t="shared" si="34"/>
        <v>Length (mm)</v>
      </c>
      <c r="J83" s="137" t="str">
        <f t="shared" si="34"/>
        <v>Module @ Middle PCB</v>
      </c>
      <c r="K83" s="137" t="str">
        <f t="shared" si="34"/>
        <v>Length (mm)</v>
      </c>
      <c r="L83" s="137" t="str">
        <f t="shared" si="34"/>
        <v>Module @ RH PCB</v>
      </c>
      <c r="M83" s="138" t="str">
        <f t="shared" si="34"/>
        <v>Length (mm)</v>
      </c>
      <c r="O83" s="229" t="s">
        <v>61</v>
      </c>
      <c r="P83" s="226" t="str">
        <f>P1</f>
        <v>Module</v>
      </c>
      <c r="Q83" s="199" t="str">
        <f aca="true" t="shared" si="35" ref="Q83:X83">Q1</f>
        <v>Row (1 = low Z, 4 = high Z)</v>
      </c>
      <c r="R83" s="201" t="str">
        <f t="shared" si="35"/>
        <v>Suggested clamp position (for LH PCB =-8 to  -3, all but blue = -7 to -3)</v>
      </c>
      <c r="S83" s="202" t="str">
        <f t="shared" si="35"/>
        <v>Module</v>
      </c>
      <c r="T83" s="199" t="str">
        <f t="shared" si="35"/>
        <v>Row (1 = low Z, 4 = high Z)</v>
      </c>
      <c r="U83" s="203" t="str">
        <f t="shared" si="35"/>
        <v>Suggested clamp position (for middle PCB =-3 through 0 to 3)</v>
      </c>
      <c r="V83" s="202" t="str">
        <f t="shared" si="35"/>
        <v>Module</v>
      </c>
      <c r="W83" s="199" t="str">
        <f t="shared" si="35"/>
        <v>Row (1 = low Z, 4 = high Z)</v>
      </c>
      <c r="X83" s="200" t="str">
        <f t="shared" si="35"/>
        <v>Suggested clamp position (for RH PCB = 3 to 8, all but blue = 3 to 7)</v>
      </c>
      <c r="Y83"/>
      <c r="Z83" s="309" t="s">
        <v>211</v>
      </c>
      <c r="AA83" s="310" t="s">
        <v>212</v>
      </c>
      <c r="AB83" s="311" t="s">
        <v>199</v>
      </c>
    </row>
    <row r="84" spans="1:28" ht="13.5" thickTop="1">
      <c r="A84" s="125">
        <f>'Tape lengths'!D85</f>
        <v>1</v>
      </c>
      <c r="B84" s="139" t="str">
        <f>'Tape lengths'!F85</f>
        <v>O10/011/013</v>
      </c>
      <c r="C84" s="155" t="str">
        <f>C2</f>
        <v>190/190/190</v>
      </c>
      <c r="D84" s="139">
        <v>25</v>
      </c>
      <c r="E84" s="139">
        <v>62.5</v>
      </c>
      <c r="F84" s="146">
        <v>2</v>
      </c>
      <c r="G84" s="302">
        <v>43.5</v>
      </c>
      <c r="H84" s="160" t="str">
        <f>IF((MID(B84,1,3))="___","None",(MID(B84,1,3))&amp;" =")</f>
        <v>O10 =</v>
      </c>
      <c r="I84" s="161">
        <f>IF((MID(B84,1,3))="___","None",(MID(C84,1,3))+D84+E84+F84+G84)</f>
        <v>323</v>
      </c>
      <c r="J84" s="160" t="str">
        <f>IF((MID(B84,5,3))="___","None",(MID(B84,5,3))&amp;" =")</f>
        <v>011 =</v>
      </c>
      <c r="K84" s="161">
        <f>IF((MID(B84,5,3))="___","None",(MID(C84,5,3))+D84+E84+F84+G84)</f>
        <v>323</v>
      </c>
      <c r="L84" s="160" t="str">
        <f>IF((MID(B84,9,3))="___","None",(MID(B84,9,3))&amp;" =")</f>
        <v>013 =</v>
      </c>
      <c r="M84" s="162">
        <f>IF((MID(B84,9,3))="___","None",(MID(C84,9,3))+D84+E84+F84+G84)</f>
        <v>323</v>
      </c>
      <c r="O84" s="230">
        <v>1</v>
      </c>
      <c r="P84" s="227" t="str">
        <f aca="true" t="shared" si="36" ref="P84:P106">IF((MID(B84,1,3))="___","",(MID(B84,1,3))&amp;" =")</f>
        <v>O10 =</v>
      </c>
      <c r="Q84" s="206">
        <v>1</v>
      </c>
      <c r="R84" s="207">
        <v>-3</v>
      </c>
      <c r="S84" s="208" t="str">
        <f aca="true" t="shared" si="37" ref="S84:S106">IF((MID(B84,5,3))="___","",(MID(B84,5,3))&amp;" =")</f>
        <v>011 =</v>
      </c>
      <c r="T84" s="206">
        <v>1</v>
      </c>
      <c r="U84" s="209">
        <v>0</v>
      </c>
      <c r="V84" s="208" t="str">
        <f aca="true" t="shared" si="38" ref="V84:V106">IF((MID(B84,9,3))="___","",(MID(B84,9,3))&amp;" =")</f>
        <v>013 =</v>
      </c>
      <c r="W84" s="206">
        <v>1</v>
      </c>
      <c r="X84" s="210">
        <v>3</v>
      </c>
      <c r="Z84" s="312">
        <v>240.5</v>
      </c>
      <c r="AA84" s="295">
        <v>1</v>
      </c>
      <c r="AB84" s="313">
        <v>3</v>
      </c>
    </row>
    <row r="85" spans="1:28" ht="13.5" thickBot="1">
      <c r="A85" s="140">
        <f>'Tape lengths'!D86</f>
        <v>1</v>
      </c>
      <c r="B85" s="6" t="str">
        <f>'Tape lengths'!F86</f>
        <v>_M9/O12/M10</v>
      </c>
      <c r="C85" s="156" t="str">
        <f aca="true" t="shared" si="39" ref="C85:C106">C3</f>
        <v>190/190/190</v>
      </c>
      <c r="D85" s="6">
        <v>25</v>
      </c>
      <c r="E85" s="6">
        <v>106.5</v>
      </c>
      <c r="F85" s="30">
        <v>2</v>
      </c>
      <c r="G85" s="303">
        <v>43.5</v>
      </c>
      <c r="H85" s="163" t="str">
        <f>IF((MID(B85,1,3))="___","None",(MID(B85,1,3))&amp;" =")</f>
        <v>_M9 =</v>
      </c>
      <c r="I85" s="164">
        <f>IF((MID(B85,1,3))="___","None",(MID(C85,1,3))+D85+E85+F85+G85)</f>
        <v>367</v>
      </c>
      <c r="J85" s="163" t="str">
        <f>IF((MID(B85,5,3))="___","None",(MID(B85,5,3))&amp;" =")</f>
        <v>O12 =</v>
      </c>
      <c r="K85" s="164">
        <f>IF((MID(B85,5,3))="___","None",(MID(C85,5,3))+D85+E85+F85+G85)</f>
        <v>367</v>
      </c>
      <c r="L85" s="163" t="str">
        <f>IF((MID(B85,9,3))="___","None",(MID(B85,9,3))&amp;" =")</f>
        <v>M10 =</v>
      </c>
      <c r="M85" s="165">
        <f>IF((MID(B85,9,3))="___","None",(MID(C85,9,3))+D85+E85+F85+G85)</f>
        <v>367</v>
      </c>
      <c r="O85" s="237">
        <v>1</v>
      </c>
      <c r="P85" s="238" t="str">
        <f t="shared" si="36"/>
        <v>_M9 =</v>
      </c>
      <c r="Q85" s="239">
        <v>1</v>
      </c>
      <c r="R85" s="240">
        <v>-4</v>
      </c>
      <c r="S85" s="241" t="str">
        <f t="shared" si="37"/>
        <v>O12 =</v>
      </c>
      <c r="T85" s="239">
        <v>1</v>
      </c>
      <c r="U85" s="242">
        <v>-1</v>
      </c>
      <c r="V85" s="241" t="str">
        <f t="shared" si="38"/>
        <v>M10 =</v>
      </c>
      <c r="W85" s="239">
        <v>1</v>
      </c>
      <c r="X85" s="243">
        <v>4</v>
      </c>
      <c r="Z85" s="312">
        <v>249.5</v>
      </c>
      <c r="AA85" s="295">
        <v>2</v>
      </c>
      <c r="AB85" s="313">
        <v>3</v>
      </c>
    </row>
    <row r="86" spans="1:28" ht="12.75">
      <c r="A86" s="145">
        <f>'Tape lengths'!D87</f>
        <v>2</v>
      </c>
      <c r="B86" s="3" t="str">
        <f>'Tape lengths'!F87</f>
        <v>_I8/_I9/013</v>
      </c>
      <c r="C86" s="157" t="str">
        <f t="shared" si="39"/>
        <v>195/195/195</v>
      </c>
      <c r="D86" s="3">
        <v>25</v>
      </c>
      <c r="E86" s="3">
        <v>18.5</v>
      </c>
      <c r="F86" s="147">
        <v>2</v>
      </c>
      <c r="G86" s="304"/>
      <c r="H86" s="166" t="str">
        <f aca="true" t="shared" si="40" ref="H86:H106">IF((MID(B86,1,3))="___","None",(MID(B86,1,3))&amp;" =")</f>
        <v>_I8 =</v>
      </c>
      <c r="I86" s="167">
        <f aca="true" t="shared" si="41" ref="I86:I106">IF((MID(B86,1,3))="___","None",(MID(C86,1,3))+D86+E86+F86)</f>
        <v>240.5</v>
      </c>
      <c r="J86" s="166" t="str">
        <f aca="true" t="shared" si="42" ref="J86:J106">IF((MID(B86,5,3))="___","None",(MID(B86,5,3))&amp;" =")</f>
        <v>_I9 =</v>
      </c>
      <c r="K86" s="167">
        <f aca="true" t="shared" si="43" ref="K86:K106">IF((MID(B86,5,3))="___","None",(MID(C86,5,3))+D86+E86+F86)</f>
        <v>240.5</v>
      </c>
      <c r="L86" s="166" t="str">
        <f aca="true" t="shared" si="44" ref="L86:L106">IF((MID(B86,9,3))="___","None",(MID(B86,9,3))&amp;" =")</f>
        <v>013 =</v>
      </c>
      <c r="M86" s="168">
        <f aca="true" t="shared" si="45" ref="M86:M106">IF((MID(B86,9,3))="___","None",(MID(C86,9,3))+D86+E86+F86)</f>
        <v>240.5</v>
      </c>
      <c r="O86" s="232">
        <v>2</v>
      </c>
      <c r="P86" s="233" t="str">
        <f t="shared" si="36"/>
        <v>_I8 =</v>
      </c>
      <c r="Q86" s="204">
        <v>1</v>
      </c>
      <c r="R86" s="205">
        <v>-5</v>
      </c>
      <c r="S86" s="234" t="str">
        <f t="shared" si="37"/>
        <v>_I9 =</v>
      </c>
      <c r="T86" s="204">
        <v>1</v>
      </c>
      <c r="U86" s="235">
        <v>1</v>
      </c>
      <c r="V86" s="234" t="str">
        <f t="shared" si="38"/>
        <v>013 =</v>
      </c>
      <c r="W86" s="204">
        <v>1</v>
      </c>
      <c r="X86" s="236">
        <v>5</v>
      </c>
      <c r="Z86" s="312">
        <v>257.5</v>
      </c>
      <c r="AA86" s="295">
        <v>3</v>
      </c>
      <c r="AB86" s="313">
        <v>3</v>
      </c>
    </row>
    <row r="87" spans="1:28" ht="12.75">
      <c r="A87" s="140">
        <f>'Tape lengths'!D88</f>
        <v>2</v>
      </c>
      <c r="B87" s="6" t="str">
        <f>'Tape lengths'!F88</f>
        <v>_M9/O12/M10</v>
      </c>
      <c r="C87" s="156" t="str">
        <f t="shared" si="39"/>
        <v>195/195/195</v>
      </c>
      <c r="D87" s="6">
        <v>25</v>
      </c>
      <c r="E87" s="6">
        <v>62.5</v>
      </c>
      <c r="F87" s="30">
        <v>2</v>
      </c>
      <c r="G87" s="305"/>
      <c r="H87" s="163" t="str">
        <f t="shared" si="40"/>
        <v>_M9 =</v>
      </c>
      <c r="I87" s="164">
        <f t="shared" si="41"/>
        <v>284.5</v>
      </c>
      <c r="J87" s="163" t="str">
        <f t="shared" si="42"/>
        <v>O12 =</v>
      </c>
      <c r="K87" s="164">
        <f t="shared" si="43"/>
        <v>284.5</v>
      </c>
      <c r="L87" s="163" t="str">
        <f t="shared" si="44"/>
        <v>M10 =</v>
      </c>
      <c r="M87" s="165">
        <f t="shared" si="45"/>
        <v>284.5</v>
      </c>
      <c r="O87" s="230">
        <v>2</v>
      </c>
      <c r="P87" s="227" t="str">
        <f t="shared" si="36"/>
        <v>_M9 =</v>
      </c>
      <c r="Q87" s="206">
        <v>1</v>
      </c>
      <c r="R87" s="207">
        <v>-6</v>
      </c>
      <c r="S87" s="208" t="str">
        <f t="shared" si="37"/>
        <v>O12 =</v>
      </c>
      <c r="T87" s="206">
        <v>1</v>
      </c>
      <c r="U87" s="209">
        <v>-2</v>
      </c>
      <c r="V87" s="208" t="str">
        <f t="shared" si="38"/>
        <v>M10 =</v>
      </c>
      <c r="W87" s="206">
        <v>1</v>
      </c>
      <c r="X87" s="210">
        <v>6</v>
      </c>
      <c r="Z87" s="312">
        <v>268.5</v>
      </c>
      <c r="AA87" s="295">
        <v>4</v>
      </c>
      <c r="AB87" s="313">
        <v>3</v>
      </c>
    </row>
    <row r="88" spans="1:28" ht="13.5" thickBot="1">
      <c r="A88" s="140">
        <f>'Tape lengths'!D89</f>
        <v>2</v>
      </c>
      <c r="B88" s="6" t="str">
        <f>'Tape lengths'!F89</f>
        <v>O10/O11/I10</v>
      </c>
      <c r="C88" s="156" t="str">
        <f t="shared" si="39"/>
        <v>195/195/195</v>
      </c>
      <c r="D88" s="6">
        <v>25</v>
      </c>
      <c r="E88" s="6">
        <v>106.5</v>
      </c>
      <c r="F88" s="30">
        <v>2</v>
      </c>
      <c r="G88" s="305"/>
      <c r="H88" s="163" t="str">
        <f t="shared" si="40"/>
        <v>O10 =</v>
      </c>
      <c r="I88" s="164">
        <f t="shared" si="41"/>
        <v>328.5</v>
      </c>
      <c r="J88" s="163" t="str">
        <f t="shared" si="42"/>
        <v>O11 =</v>
      </c>
      <c r="K88" s="164">
        <f t="shared" si="43"/>
        <v>328.5</v>
      </c>
      <c r="L88" s="163" t="str">
        <f t="shared" si="44"/>
        <v>I10 =</v>
      </c>
      <c r="M88" s="165">
        <f t="shared" si="45"/>
        <v>328.5</v>
      </c>
      <c r="O88" s="237">
        <v>2</v>
      </c>
      <c r="P88" s="238" t="str">
        <f t="shared" si="36"/>
        <v>O10 =</v>
      </c>
      <c r="Q88" s="239">
        <v>1</v>
      </c>
      <c r="R88" s="240">
        <v>-7</v>
      </c>
      <c r="S88" s="241" t="str">
        <f t="shared" si="37"/>
        <v>O11 =</v>
      </c>
      <c r="T88" s="239">
        <v>1</v>
      </c>
      <c r="U88" s="242">
        <v>2</v>
      </c>
      <c r="V88" s="241" t="str">
        <f t="shared" si="38"/>
        <v>I10 =</v>
      </c>
      <c r="W88" s="239">
        <v>1</v>
      </c>
      <c r="X88" s="243">
        <v>7</v>
      </c>
      <c r="Z88" s="312">
        <v>278.5</v>
      </c>
      <c r="AA88" s="295">
        <v>5</v>
      </c>
      <c r="AB88" s="313">
        <v>3</v>
      </c>
    </row>
    <row r="89" spans="1:28" ht="12.75">
      <c r="A89" s="145">
        <f>'Tape lengths'!D90</f>
        <v>3</v>
      </c>
      <c r="B89" s="3" t="str">
        <f>'Tape lengths'!F90</f>
        <v>_I8/_I9/013</v>
      </c>
      <c r="C89" s="157" t="str">
        <f t="shared" si="39"/>
        <v>204/204/204</v>
      </c>
      <c r="D89" s="3">
        <v>25</v>
      </c>
      <c r="E89" s="3">
        <v>18.5</v>
      </c>
      <c r="F89" s="147">
        <v>2</v>
      </c>
      <c r="G89" s="304"/>
      <c r="H89" s="169" t="str">
        <f t="shared" si="40"/>
        <v>_I8 =</v>
      </c>
      <c r="I89" s="170">
        <f t="shared" si="41"/>
        <v>249.5</v>
      </c>
      <c r="J89" s="169" t="str">
        <f t="shared" si="42"/>
        <v>_I9 =</v>
      </c>
      <c r="K89" s="170">
        <f t="shared" si="43"/>
        <v>249.5</v>
      </c>
      <c r="L89" s="169" t="str">
        <f t="shared" si="44"/>
        <v>013 =</v>
      </c>
      <c r="M89" s="171">
        <f t="shared" si="45"/>
        <v>249.5</v>
      </c>
      <c r="O89" s="230">
        <v>3</v>
      </c>
      <c r="P89" s="244" t="str">
        <f t="shared" si="36"/>
        <v>_I8 =</v>
      </c>
      <c r="Q89" s="152">
        <v>2</v>
      </c>
      <c r="R89" s="245">
        <v>-3</v>
      </c>
      <c r="S89" s="246" t="str">
        <f t="shared" si="37"/>
        <v>_I9 =</v>
      </c>
      <c r="T89" s="152">
        <v>2</v>
      </c>
      <c r="U89" s="247">
        <v>0</v>
      </c>
      <c r="V89" s="246" t="str">
        <f t="shared" si="38"/>
        <v>013 =</v>
      </c>
      <c r="W89" s="152">
        <v>2</v>
      </c>
      <c r="X89" s="248">
        <v>3</v>
      </c>
      <c r="Z89" s="312">
        <v>284.5</v>
      </c>
      <c r="AA89" s="295">
        <v>6</v>
      </c>
      <c r="AB89" s="313">
        <v>3</v>
      </c>
    </row>
    <row r="90" spans="1:28" ht="12.75">
      <c r="A90" s="140">
        <f>'Tape lengths'!D91</f>
        <v>3</v>
      </c>
      <c r="B90" s="6" t="str">
        <f>'Tape lengths'!F91</f>
        <v>_M9/O12/M10</v>
      </c>
      <c r="C90" s="156" t="str">
        <f t="shared" si="39"/>
        <v>204/204/204</v>
      </c>
      <c r="D90" s="6">
        <v>25</v>
      </c>
      <c r="E90" s="6">
        <v>62.5</v>
      </c>
      <c r="F90" s="30">
        <v>2</v>
      </c>
      <c r="G90" s="305"/>
      <c r="H90" s="172" t="str">
        <f t="shared" si="40"/>
        <v>_M9 =</v>
      </c>
      <c r="I90" s="173">
        <f t="shared" si="41"/>
        <v>293.5</v>
      </c>
      <c r="J90" s="172" t="str">
        <f t="shared" si="42"/>
        <v>O12 =</v>
      </c>
      <c r="K90" s="173">
        <f t="shared" si="43"/>
        <v>293.5</v>
      </c>
      <c r="L90" s="172" t="str">
        <f t="shared" si="44"/>
        <v>M10 =</v>
      </c>
      <c r="M90" s="174">
        <f t="shared" si="45"/>
        <v>293.5</v>
      </c>
      <c r="O90" s="230">
        <v>3</v>
      </c>
      <c r="P90" s="211" t="str">
        <f t="shared" si="36"/>
        <v>_M9 =</v>
      </c>
      <c r="Q90" s="153">
        <v>2</v>
      </c>
      <c r="R90" s="212">
        <v>-4</v>
      </c>
      <c r="S90" s="213" t="str">
        <f t="shared" si="37"/>
        <v>O12 =</v>
      </c>
      <c r="T90" s="153">
        <v>2</v>
      </c>
      <c r="U90" s="214">
        <v>-1</v>
      </c>
      <c r="V90" s="213" t="str">
        <f t="shared" si="38"/>
        <v>M10 =</v>
      </c>
      <c r="W90" s="153">
        <v>2</v>
      </c>
      <c r="X90" s="215">
        <v>4</v>
      </c>
      <c r="Z90" s="314">
        <v>290.5</v>
      </c>
      <c r="AA90" s="295" t="s">
        <v>213</v>
      </c>
      <c r="AB90" s="313"/>
    </row>
    <row r="91" spans="1:28" ht="13.5" thickBot="1">
      <c r="A91" s="140">
        <f>'Tape lengths'!D92</f>
        <v>3</v>
      </c>
      <c r="B91" s="6" t="str">
        <f>'Tape lengths'!F92</f>
        <v>O10/O11/I10</v>
      </c>
      <c r="C91" s="156" t="str">
        <f t="shared" si="39"/>
        <v>204/204/204</v>
      </c>
      <c r="D91" s="6">
        <v>25</v>
      </c>
      <c r="E91" s="6">
        <v>106.5</v>
      </c>
      <c r="F91" s="30">
        <v>2</v>
      </c>
      <c r="G91" s="305"/>
      <c r="H91" s="172" t="str">
        <f t="shared" si="40"/>
        <v>O10 =</v>
      </c>
      <c r="I91" s="173">
        <f t="shared" si="41"/>
        <v>337.5</v>
      </c>
      <c r="J91" s="172" t="str">
        <f t="shared" si="42"/>
        <v>O11 =</v>
      </c>
      <c r="K91" s="173">
        <f t="shared" si="43"/>
        <v>337.5</v>
      </c>
      <c r="L91" s="172" t="str">
        <f t="shared" si="44"/>
        <v>I10 =</v>
      </c>
      <c r="M91" s="174">
        <f t="shared" si="45"/>
        <v>337.5</v>
      </c>
      <c r="O91" s="237">
        <v>3</v>
      </c>
      <c r="P91" s="249" t="str">
        <f t="shared" si="36"/>
        <v>O10 =</v>
      </c>
      <c r="Q91" s="250">
        <v>2</v>
      </c>
      <c r="R91" s="251">
        <v>-5</v>
      </c>
      <c r="S91" s="252" t="str">
        <f t="shared" si="37"/>
        <v>O11 =</v>
      </c>
      <c r="T91" s="250">
        <v>2</v>
      </c>
      <c r="U91" s="253">
        <v>1</v>
      </c>
      <c r="V91" s="252" t="str">
        <f t="shared" si="38"/>
        <v>I10 =</v>
      </c>
      <c r="W91" s="250">
        <v>2</v>
      </c>
      <c r="X91" s="254">
        <v>5</v>
      </c>
      <c r="Z91" s="315">
        <v>293.5</v>
      </c>
      <c r="AA91" s="295">
        <v>7</v>
      </c>
      <c r="AB91" s="313">
        <v>6</v>
      </c>
    </row>
    <row r="92" spans="1:28" ht="12.75">
      <c r="A92" s="145">
        <f>'Tape lengths'!D93</f>
        <v>4</v>
      </c>
      <c r="B92" s="3" t="str">
        <f>'Tape lengths'!F93</f>
        <v>_I8/_I9/013</v>
      </c>
      <c r="C92" s="157" t="str">
        <f t="shared" si="39"/>
        <v>212/212/212</v>
      </c>
      <c r="D92" s="3">
        <v>25</v>
      </c>
      <c r="E92" s="3">
        <v>18.5</v>
      </c>
      <c r="F92" s="147">
        <v>2</v>
      </c>
      <c r="G92" s="304"/>
      <c r="H92" s="169" t="str">
        <f t="shared" si="40"/>
        <v>_I8 =</v>
      </c>
      <c r="I92" s="170">
        <f t="shared" si="41"/>
        <v>257.5</v>
      </c>
      <c r="J92" s="169" t="str">
        <f t="shared" si="42"/>
        <v>_I9 =</v>
      </c>
      <c r="K92" s="170">
        <f t="shared" si="43"/>
        <v>257.5</v>
      </c>
      <c r="L92" s="169" t="str">
        <f t="shared" si="44"/>
        <v>013 =</v>
      </c>
      <c r="M92" s="171">
        <f t="shared" si="45"/>
        <v>257.5</v>
      </c>
      <c r="O92" s="230">
        <v>4</v>
      </c>
      <c r="P92" s="244" t="str">
        <f t="shared" si="36"/>
        <v>_I8 =</v>
      </c>
      <c r="Q92" s="152">
        <v>2</v>
      </c>
      <c r="R92" s="245">
        <v>-6</v>
      </c>
      <c r="S92" s="246" t="str">
        <f t="shared" si="37"/>
        <v>_I9 =</v>
      </c>
      <c r="T92" s="152">
        <v>2</v>
      </c>
      <c r="U92" s="247">
        <v>-2</v>
      </c>
      <c r="V92" s="246" t="str">
        <f t="shared" si="38"/>
        <v>013 =</v>
      </c>
      <c r="W92" s="152">
        <v>2</v>
      </c>
      <c r="X92" s="248">
        <v>6</v>
      </c>
      <c r="Z92" s="314">
        <v>301.5</v>
      </c>
      <c r="AA92" s="295" t="s">
        <v>213</v>
      </c>
      <c r="AB92" s="313"/>
    </row>
    <row r="93" spans="1:28" ht="12.75">
      <c r="A93" s="140">
        <f>'Tape lengths'!D94</f>
        <v>4</v>
      </c>
      <c r="B93" s="6" t="str">
        <f>'Tape lengths'!F94</f>
        <v>_M9/O12/M10</v>
      </c>
      <c r="C93" s="156" t="str">
        <f t="shared" si="39"/>
        <v>212/212/212</v>
      </c>
      <c r="D93" s="6">
        <v>25</v>
      </c>
      <c r="E93" s="6">
        <v>62.5</v>
      </c>
      <c r="F93" s="30">
        <v>2</v>
      </c>
      <c r="G93" s="305"/>
      <c r="H93" s="172" t="str">
        <f t="shared" si="40"/>
        <v>_M9 =</v>
      </c>
      <c r="I93" s="173">
        <f t="shared" si="41"/>
        <v>301.5</v>
      </c>
      <c r="J93" s="172" t="str">
        <f t="shared" si="42"/>
        <v>O12 =</v>
      </c>
      <c r="K93" s="173">
        <f t="shared" si="43"/>
        <v>301.5</v>
      </c>
      <c r="L93" s="172" t="str">
        <f t="shared" si="44"/>
        <v>M10 =</v>
      </c>
      <c r="M93" s="174">
        <f t="shared" si="45"/>
        <v>301.5</v>
      </c>
      <c r="O93" s="230">
        <v>4</v>
      </c>
      <c r="P93" s="211" t="str">
        <f t="shared" si="36"/>
        <v>_M9 =</v>
      </c>
      <c r="Q93" s="153">
        <v>2</v>
      </c>
      <c r="R93" s="212">
        <v>-7</v>
      </c>
      <c r="S93" s="213" t="str">
        <f t="shared" si="37"/>
        <v>O12 =</v>
      </c>
      <c r="T93" s="153">
        <v>2</v>
      </c>
      <c r="U93" s="214">
        <v>2</v>
      </c>
      <c r="V93" s="213" t="str">
        <f t="shared" si="38"/>
        <v>M10 =</v>
      </c>
      <c r="W93" s="153">
        <v>2</v>
      </c>
      <c r="X93" s="215">
        <v>7</v>
      </c>
      <c r="Z93" s="315">
        <v>301.5</v>
      </c>
      <c r="AA93" s="295">
        <v>8</v>
      </c>
      <c r="AB93" s="313">
        <v>6</v>
      </c>
    </row>
    <row r="94" spans="1:28" ht="13.5" thickBot="1">
      <c r="A94" s="140">
        <f>'Tape lengths'!D95</f>
        <v>4</v>
      </c>
      <c r="B94" s="6" t="str">
        <f>'Tape lengths'!F95</f>
        <v>O10/O11/I10</v>
      </c>
      <c r="C94" s="156" t="str">
        <f t="shared" si="39"/>
        <v>215/223/215</v>
      </c>
      <c r="D94" s="6">
        <v>25</v>
      </c>
      <c r="E94" s="6">
        <v>106.5</v>
      </c>
      <c r="F94" s="30">
        <v>2</v>
      </c>
      <c r="G94" s="305"/>
      <c r="H94" s="172" t="str">
        <f t="shared" si="40"/>
        <v>O10 =</v>
      </c>
      <c r="I94" s="173">
        <f t="shared" si="41"/>
        <v>348.5</v>
      </c>
      <c r="J94" s="175" t="str">
        <f t="shared" si="42"/>
        <v>O11 =</v>
      </c>
      <c r="K94" s="176">
        <f t="shared" si="43"/>
        <v>356.5</v>
      </c>
      <c r="L94" s="172" t="str">
        <f t="shared" si="44"/>
        <v>I10 =</v>
      </c>
      <c r="M94" s="174">
        <f t="shared" si="45"/>
        <v>348.5</v>
      </c>
      <c r="O94" s="237">
        <v>4</v>
      </c>
      <c r="P94" s="249" t="str">
        <f t="shared" si="36"/>
        <v>O10 =</v>
      </c>
      <c r="Q94" s="250">
        <v>2</v>
      </c>
      <c r="R94" s="251">
        <v>-8</v>
      </c>
      <c r="S94" s="255" t="str">
        <f t="shared" si="37"/>
        <v>O11 =</v>
      </c>
      <c r="T94" s="256">
        <v>3</v>
      </c>
      <c r="U94" s="257">
        <v>0</v>
      </c>
      <c r="V94" s="252" t="str">
        <f t="shared" si="38"/>
        <v>I10 =</v>
      </c>
      <c r="W94" s="250">
        <v>2</v>
      </c>
      <c r="X94" s="254">
        <v>8</v>
      </c>
      <c r="Z94" s="314">
        <v>312.5</v>
      </c>
      <c r="AA94" s="295" t="s">
        <v>213</v>
      </c>
      <c r="AB94" s="313"/>
    </row>
    <row r="95" spans="1:28" ht="12.75">
      <c r="A95" s="145">
        <f>'Tape lengths'!D96</f>
        <v>5</v>
      </c>
      <c r="B95" s="3" t="str">
        <f>'Tape lengths'!F96</f>
        <v>_I8/_I9/013</v>
      </c>
      <c r="C95" s="157" t="str">
        <f t="shared" si="39"/>
        <v>223/223/223</v>
      </c>
      <c r="D95" s="3">
        <v>25</v>
      </c>
      <c r="E95" s="3">
        <v>18.5</v>
      </c>
      <c r="F95" s="147">
        <v>2</v>
      </c>
      <c r="G95" s="304"/>
      <c r="H95" s="177" t="str">
        <f t="shared" si="40"/>
        <v>_I8 =</v>
      </c>
      <c r="I95" s="178">
        <f t="shared" si="41"/>
        <v>268.5</v>
      </c>
      <c r="J95" s="177" t="str">
        <f t="shared" si="42"/>
        <v>_I9 =</v>
      </c>
      <c r="K95" s="178">
        <f t="shared" si="43"/>
        <v>268.5</v>
      </c>
      <c r="L95" s="177" t="str">
        <f t="shared" si="44"/>
        <v>013 =</v>
      </c>
      <c r="M95" s="179">
        <f t="shared" si="45"/>
        <v>268.5</v>
      </c>
      <c r="O95" s="230">
        <v>5</v>
      </c>
      <c r="P95" s="258" t="str">
        <f t="shared" si="36"/>
        <v>_I8 =</v>
      </c>
      <c r="Q95" s="259">
        <v>3</v>
      </c>
      <c r="R95" s="260">
        <v>-5</v>
      </c>
      <c r="S95" s="261" t="str">
        <f t="shared" si="37"/>
        <v>_I9 =</v>
      </c>
      <c r="T95" s="259">
        <v>3</v>
      </c>
      <c r="U95" s="262">
        <v>-1</v>
      </c>
      <c r="V95" s="261" t="str">
        <f t="shared" si="38"/>
        <v>013 =</v>
      </c>
      <c r="W95" s="259">
        <v>3</v>
      </c>
      <c r="X95" s="263">
        <v>4</v>
      </c>
      <c r="Z95" s="315">
        <v>313.5</v>
      </c>
      <c r="AA95" s="295">
        <v>9</v>
      </c>
      <c r="AB95" s="313">
        <v>4</v>
      </c>
    </row>
    <row r="96" spans="1:28" ht="12.75">
      <c r="A96" s="140">
        <f>'Tape lengths'!D97</f>
        <v>5</v>
      </c>
      <c r="B96" s="6" t="str">
        <f>'Tape lengths'!F97</f>
        <v>_M9/O12/M10</v>
      </c>
      <c r="C96" s="156" t="str">
        <f t="shared" si="39"/>
        <v>223/223/223</v>
      </c>
      <c r="D96" s="6">
        <v>25</v>
      </c>
      <c r="E96" s="6">
        <v>62.5</v>
      </c>
      <c r="F96" s="30">
        <v>2</v>
      </c>
      <c r="G96" s="305"/>
      <c r="H96" s="175" t="str">
        <f t="shared" si="40"/>
        <v>_M9 =</v>
      </c>
      <c r="I96" s="176">
        <f t="shared" si="41"/>
        <v>312.5</v>
      </c>
      <c r="J96" s="175" t="str">
        <f t="shared" si="42"/>
        <v>O12 =</v>
      </c>
      <c r="K96" s="176">
        <f t="shared" si="43"/>
        <v>312.5</v>
      </c>
      <c r="L96" s="175" t="str">
        <f t="shared" si="44"/>
        <v>M10 =</v>
      </c>
      <c r="M96" s="180">
        <f t="shared" si="45"/>
        <v>312.5</v>
      </c>
      <c r="O96" s="230">
        <v>5</v>
      </c>
      <c r="P96" s="216" t="str">
        <f t="shared" si="36"/>
        <v>_M9 =</v>
      </c>
      <c r="Q96" s="217">
        <v>3</v>
      </c>
      <c r="R96" s="218">
        <v>-5</v>
      </c>
      <c r="S96" s="219" t="str">
        <f t="shared" si="37"/>
        <v>O12 =</v>
      </c>
      <c r="T96" s="217">
        <v>3</v>
      </c>
      <c r="U96" s="220">
        <v>1</v>
      </c>
      <c r="V96" s="219" t="str">
        <f t="shared" si="38"/>
        <v>M10 =</v>
      </c>
      <c r="W96" s="217">
        <v>3</v>
      </c>
      <c r="X96" s="221">
        <v>5</v>
      </c>
      <c r="Z96" s="314">
        <v>322.5</v>
      </c>
      <c r="AA96" s="295" t="s">
        <v>213</v>
      </c>
      <c r="AB96" s="313"/>
    </row>
    <row r="97" spans="1:28" ht="13.5" thickBot="1">
      <c r="A97" s="140">
        <f>'Tape lengths'!D98</f>
        <v>5</v>
      </c>
      <c r="B97" s="6" t="str">
        <f>'Tape lengths'!F98</f>
        <v>O10/O11/I10</v>
      </c>
      <c r="C97" s="156" t="str">
        <f t="shared" si="39"/>
        <v>223/223/223</v>
      </c>
      <c r="D97" s="6">
        <v>25</v>
      </c>
      <c r="E97" s="6">
        <v>106.5</v>
      </c>
      <c r="F97" s="30">
        <v>2</v>
      </c>
      <c r="G97" s="305"/>
      <c r="H97" s="175" t="str">
        <f t="shared" si="40"/>
        <v>O10 =</v>
      </c>
      <c r="I97" s="176">
        <f t="shared" si="41"/>
        <v>356.5</v>
      </c>
      <c r="J97" s="175" t="str">
        <f t="shared" si="42"/>
        <v>O11 =</v>
      </c>
      <c r="K97" s="176">
        <f t="shared" si="43"/>
        <v>356.5</v>
      </c>
      <c r="L97" s="175" t="str">
        <f t="shared" si="44"/>
        <v>I10 =</v>
      </c>
      <c r="M97" s="180">
        <f t="shared" si="45"/>
        <v>356.5</v>
      </c>
      <c r="O97" s="237">
        <v>5</v>
      </c>
      <c r="P97" s="264" t="str">
        <f t="shared" si="36"/>
        <v>O10 =</v>
      </c>
      <c r="Q97" s="256">
        <v>3</v>
      </c>
      <c r="R97" s="265">
        <v>-6</v>
      </c>
      <c r="S97" s="255" t="str">
        <f t="shared" si="37"/>
        <v>O11 =</v>
      </c>
      <c r="T97" s="256">
        <v>3</v>
      </c>
      <c r="U97" s="257">
        <v>-2</v>
      </c>
      <c r="V97" s="255" t="str">
        <f t="shared" si="38"/>
        <v>I10 =</v>
      </c>
      <c r="W97" s="256">
        <v>3</v>
      </c>
      <c r="X97" s="266">
        <v>6</v>
      </c>
      <c r="Z97" s="315">
        <v>323</v>
      </c>
      <c r="AA97" s="295">
        <v>10</v>
      </c>
      <c r="AB97" s="313">
        <v>6</v>
      </c>
    </row>
    <row r="98" spans="1:28" ht="12.75">
      <c r="A98" s="145">
        <f>'Tape lengths'!D99</f>
        <v>6</v>
      </c>
      <c r="B98" s="3" t="str">
        <f>'Tape lengths'!F99</f>
        <v>_I8/_I9/013</v>
      </c>
      <c r="C98" s="157" t="str">
        <f t="shared" si="39"/>
        <v>233/233/233</v>
      </c>
      <c r="D98" s="3">
        <v>25</v>
      </c>
      <c r="E98" s="3">
        <v>18.5</v>
      </c>
      <c r="F98" s="147">
        <v>2</v>
      </c>
      <c r="G98" s="304"/>
      <c r="H98" s="177" t="str">
        <f t="shared" si="40"/>
        <v>_I8 =</v>
      </c>
      <c r="I98" s="178">
        <f t="shared" si="41"/>
        <v>278.5</v>
      </c>
      <c r="J98" s="177" t="str">
        <f t="shared" si="42"/>
        <v>_I9 =</v>
      </c>
      <c r="K98" s="178">
        <f t="shared" si="43"/>
        <v>278.5</v>
      </c>
      <c r="L98" s="177" t="str">
        <f t="shared" si="44"/>
        <v>013 =</v>
      </c>
      <c r="M98" s="179">
        <f t="shared" si="45"/>
        <v>278.5</v>
      </c>
      <c r="O98" s="230">
        <v>6</v>
      </c>
      <c r="P98" s="258" t="str">
        <f t="shared" si="36"/>
        <v>_I8 =</v>
      </c>
      <c r="Q98" s="259">
        <v>3</v>
      </c>
      <c r="R98" s="260">
        <v>-7</v>
      </c>
      <c r="S98" s="261" t="str">
        <f t="shared" si="37"/>
        <v>_I9 =</v>
      </c>
      <c r="T98" s="259">
        <v>3</v>
      </c>
      <c r="U98" s="262">
        <v>2</v>
      </c>
      <c r="V98" s="261" t="str">
        <f t="shared" si="38"/>
        <v>013 =</v>
      </c>
      <c r="W98" s="259">
        <v>3</v>
      </c>
      <c r="X98" s="263">
        <v>7</v>
      </c>
      <c r="Z98" s="312">
        <v>328.5</v>
      </c>
      <c r="AA98" s="295">
        <v>11</v>
      </c>
      <c r="AB98" s="313">
        <v>3</v>
      </c>
    </row>
    <row r="99" spans="1:28" ht="12.75">
      <c r="A99" s="140">
        <f>'Tape lengths'!D100</f>
        <v>6</v>
      </c>
      <c r="B99" s="6" t="str">
        <f>'Tape lengths'!F100</f>
        <v>_M9/O12/M10</v>
      </c>
      <c r="C99" s="156" t="str">
        <f t="shared" si="39"/>
        <v>233/233/233</v>
      </c>
      <c r="D99" s="6">
        <v>25</v>
      </c>
      <c r="E99" s="6">
        <v>62.5</v>
      </c>
      <c r="F99" s="30">
        <v>2</v>
      </c>
      <c r="G99" s="305"/>
      <c r="H99" s="175" t="str">
        <f t="shared" si="40"/>
        <v>_M9 =</v>
      </c>
      <c r="I99" s="176">
        <f t="shared" si="41"/>
        <v>322.5</v>
      </c>
      <c r="J99" s="175" t="str">
        <f t="shared" si="42"/>
        <v>O12 =</v>
      </c>
      <c r="K99" s="176">
        <f t="shared" si="43"/>
        <v>322.5</v>
      </c>
      <c r="L99" s="175" t="str">
        <f t="shared" si="44"/>
        <v>M10 =</v>
      </c>
      <c r="M99" s="180">
        <f t="shared" si="45"/>
        <v>322.5</v>
      </c>
      <c r="O99" s="230">
        <v>6</v>
      </c>
      <c r="P99" s="216" t="str">
        <f t="shared" si="36"/>
        <v>_M9 =</v>
      </c>
      <c r="Q99" s="217">
        <v>3</v>
      </c>
      <c r="R99" s="218">
        <v>-8</v>
      </c>
      <c r="S99" s="219" t="str">
        <f t="shared" si="37"/>
        <v>O12 =</v>
      </c>
      <c r="T99" s="217">
        <v>3</v>
      </c>
      <c r="U99" s="220">
        <v>-3</v>
      </c>
      <c r="V99" s="219" t="str">
        <f t="shared" si="38"/>
        <v>M10 =</v>
      </c>
      <c r="W99" s="217">
        <v>3</v>
      </c>
      <c r="X99" s="221">
        <v>8</v>
      </c>
      <c r="Z99" s="314">
        <v>334.5</v>
      </c>
      <c r="AA99" s="295" t="s">
        <v>213</v>
      </c>
      <c r="AB99" s="313"/>
    </row>
    <row r="100" spans="1:28" ht="13.5" thickBot="1">
      <c r="A100" s="140">
        <f>'Tape lengths'!D101</f>
        <v>6</v>
      </c>
      <c r="B100" s="6" t="str">
        <f>'Tape lengths'!F101</f>
        <v>O10/O11/I10</v>
      </c>
      <c r="C100" s="156" t="str">
        <f t="shared" si="39"/>
        <v>233/235/233</v>
      </c>
      <c r="D100" s="6">
        <v>25</v>
      </c>
      <c r="E100" s="6">
        <v>106.5</v>
      </c>
      <c r="F100" s="30">
        <v>2</v>
      </c>
      <c r="G100" s="305"/>
      <c r="H100" s="181" t="str">
        <f t="shared" si="40"/>
        <v>O10 =</v>
      </c>
      <c r="I100" s="183">
        <f t="shared" si="41"/>
        <v>366.5</v>
      </c>
      <c r="J100" s="175" t="str">
        <f t="shared" si="42"/>
        <v>O11 =</v>
      </c>
      <c r="K100" s="176">
        <f t="shared" si="43"/>
        <v>368.5</v>
      </c>
      <c r="L100" s="181" t="str">
        <f t="shared" si="44"/>
        <v>I10 =</v>
      </c>
      <c r="M100" s="182">
        <f t="shared" si="45"/>
        <v>366.5</v>
      </c>
      <c r="O100" s="237">
        <v>6</v>
      </c>
      <c r="P100" s="267" t="str">
        <f t="shared" si="36"/>
        <v>O10 =</v>
      </c>
      <c r="Q100" s="268">
        <v>4</v>
      </c>
      <c r="R100" s="269">
        <v>-3</v>
      </c>
      <c r="S100" s="255" t="str">
        <f t="shared" si="37"/>
        <v>O11 =</v>
      </c>
      <c r="T100" s="256">
        <v>3</v>
      </c>
      <c r="U100" s="257">
        <v>3</v>
      </c>
      <c r="V100" s="270" t="str">
        <f t="shared" si="38"/>
        <v>I10 =</v>
      </c>
      <c r="W100" s="268">
        <v>4</v>
      </c>
      <c r="X100" s="271">
        <v>3</v>
      </c>
      <c r="Z100" s="315">
        <v>337.5</v>
      </c>
      <c r="AA100" s="295">
        <v>12</v>
      </c>
      <c r="AB100" s="313">
        <v>6</v>
      </c>
    </row>
    <row r="101" spans="1:28" ht="12.75">
      <c r="A101" s="145">
        <f>'Tape lengths'!D102</f>
        <v>7</v>
      </c>
      <c r="B101" s="3" t="str">
        <f>'Tape lengths'!F102</f>
        <v>O10/011/013</v>
      </c>
      <c r="C101" s="157" t="str">
        <f t="shared" si="39"/>
        <v>245/245/245</v>
      </c>
      <c r="D101" s="3">
        <v>25</v>
      </c>
      <c r="E101" s="3">
        <v>18.5</v>
      </c>
      <c r="F101" s="147">
        <v>2</v>
      </c>
      <c r="G101" s="304"/>
      <c r="H101" s="184" t="str">
        <f t="shared" si="40"/>
        <v>O10 =</v>
      </c>
      <c r="I101" s="185">
        <f t="shared" si="41"/>
        <v>290.5</v>
      </c>
      <c r="J101" s="184" t="str">
        <f t="shared" si="42"/>
        <v>011 =</v>
      </c>
      <c r="K101" s="185">
        <f t="shared" si="43"/>
        <v>290.5</v>
      </c>
      <c r="L101" s="184" t="str">
        <f t="shared" si="44"/>
        <v>013 =</v>
      </c>
      <c r="M101" s="186">
        <f t="shared" si="45"/>
        <v>290.5</v>
      </c>
      <c r="O101" s="230">
        <v>7</v>
      </c>
      <c r="P101" s="272" t="str">
        <f t="shared" si="36"/>
        <v>O10 =</v>
      </c>
      <c r="Q101" s="151">
        <v>4</v>
      </c>
      <c r="R101" s="273">
        <v>-4</v>
      </c>
      <c r="S101" s="274" t="str">
        <f t="shared" si="37"/>
        <v>011 =</v>
      </c>
      <c r="T101" s="151">
        <v>4</v>
      </c>
      <c r="U101" s="275">
        <v>0</v>
      </c>
      <c r="V101" s="274" t="str">
        <f t="shared" si="38"/>
        <v>013 =</v>
      </c>
      <c r="W101" s="151">
        <v>4</v>
      </c>
      <c r="X101" s="276">
        <v>4</v>
      </c>
      <c r="Z101" s="314">
        <v>345.5</v>
      </c>
      <c r="AA101" s="295" t="s">
        <v>213</v>
      </c>
      <c r="AB101" s="313"/>
    </row>
    <row r="102" spans="1:28" ht="13.5" thickBot="1">
      <c r="A102" s="140">
        <f>'Tape lengths'!D103</f>
        <v>7</v>
      </c>
      <c r="B102" s="6" t="str">
        <f>'Tape lengths'!F103</f>
        <v>_M9/O12/M10</v>
      </c>
      <c r="C102" s="156" t="str">
        <f t="shared" si="39"/>
        <v>245/245/245</v>
      </c>
      <c r="D102" s="6">
        <v>25</v>
      </c>
      <c r="E102" s="6">
        <v>62.5</v>
      </c>
      <c r="F102" s="30">
        <v>2</v>
      </c>
      <c r="G102" s="305"/>
      <c r="H102" s="181" t="str">
        <f t="shared" si="40"/>
        <v>_M9 =</v>
      </c>
      <c r="I102" s="183">
        <f t="shared" si="41"/>
        <v>334.5</v>
      </c>
      <c r="J102" s="181" t="str">
        <f t="shared" si="42"/>
        <v>O12 =</v>
      </c>
      <c r="K102" s="183">
        <f t="shared" si="43"/>
        <v>334.5</v>
      </c>
      <c r="L102" s="181" t="str">
        <f t="shared" si="44"/>
        <v>M10 =</v>
      </c>
      <c r="M102" s="182">
        <f t="shared" si="45"/>
        <v>334.5</v>
      </c>
      <c r="O102" s="237">
        <v>7</v>
      </c>
      <c r="P102" s="267" t="str">
        <f t="shared" si="36"/>
        <v>_M9 =</v>
      </c>
      <c r="Q102" s="268">
        <v>4</v>
      </c>
      <c r="R102" s="269">
        <v>-5</v>
      </c>
      <c r="S102" s="270" t="str">
        <f t="shared" si="37"/>
        <v>O12 =</v>
      </c>
      <c r="T102" s="268">
        <v>4</v>
      </c>
      <c r="U102" s="277">
        <v>-1</v>
      </c>
      <c r="V102" s="270" t="str">
        <f t="shared" si="38"/>
        <v>M10 =</v>
      </c>
      <c r="W102" s="268">
        <v>4</v>
      </c>
      <c r="X102" s="271">
        <v>5</v>
      </c>
      <c r="Z102" s="315">
        <v>348.5</v>
      </c>
      <c r="AA102" s="295">
        <v>13</v>
      </c>
      <c r="AB102" s="313">
        <v>5</v>
      </c>
    </row>
    <row r="103" spans="1:28" ht="12.75">
      <c r="A103" s="145">
        <f>'Tape lengths'!D104</f>
        <v>8</v>
      </c>
      <c r="B103" s="3" t="str">
        <f>'Tape lengths'!F104</f>
        <v>O10/011/013</v>
      </c>
      <c r="C103" s="157" t="str">
        <f t="shared" si="39"/>
        <v>256/256/256</v>
      </c>
      <c r="D103" s="3">
        <v>25</v>
      </c>
      <c r="E103" s="3">
        <v>18.5</v>
      </c>
      <c r="F103" s="147">
        <v>2</v>
      </c>
      <c r="G103" s="304"/>
      <c r="H103" s="187" t="str">
        <f t="shared" si="40"/>
        <v>O10 =</v>
      </c>
      <c r="I103" s="188">
        <f t="shared" si="41"/>
        <v>301.5</v>
      </c>
      <c r="J103" s="187" t="str">
        <f t="shared" si="42"/>
        <v>011 =</v>
      </c>
      <c r="K103" s="188">
        <f t="shared" si="43"/>
        <v>301.5</v>
      </c>
      <c r="L103" s="187" t="str">
        <f t="shared" si="44"/>
        <v>013 =</v>
      </c>
      <c r="M103" s="189">
        <f t="shared" si="45"/>
        <v>301.5</v>
      </c>
      <c r="O103" s="230">
        <v>8</v>
      </c>
      <c r="P103" s="282" t="str">
        <f t="shared" si="36"/>
        <v>O10 =</v>
      </c>
      <c r="Q103" s="150">
        <v>4</v>
      </c>
      <c r="R103" s="283">
        <v>-6</v>
      </c>
      <c r="S103" s="284" t="str">
        <f t="shared" si="37"/>
        <v>011 =</v>
      </c>
      <c r="T103" s="150">
        <v>4</v>
      </c>
      <c r="U103" s="285">
        <v>1</v>
      </c>
      <c r="V103" s="284" t="str">
        <f t="shared" si="38"/>
        <v>013 =</v>
      </c>
      <c r="W103" s="150">
        <v>4</v>
      </c>
      <c r="X103" s="286">
        <v>6</v>
      </c>
      <c r="Z103" s="314">
        <v>356.5</v>
      </c>
      <c r="AA103" s="295" t="s">
        <v>213</v>
      </c>
      <c r="AB103" s="313"/>
    </row>
    <row r="104" spans="1:28" ht="13.5" thickBot="1">
      <c r="A104" s="143">
        <f>'Tape lengths'!D105</f>
        <v>8</v>
      </c>
      <c r="B104" s="144" t="str">
        <f>'Tape lengths'!F105</f>
        <v>_M9/O12/M10</v>
      </c>
      <c r="C104" s="158" t="str">
        <f t="shared" si="39"/>
        <v>256/256/256</v>
      </c>
      <c r="D104" s="144">
        <v>25</v>
      </c>
      <c r="E104" s="6">
        <v>62.5</v>
      </c>
      <c r="F104" s="148">
        <v>2</v>
      </c>
      <c r="G104" s="306"/>
      <c r="H104" s="190" t="str">
        <f t="shared" si="40"/>
        <v>_M9 =</v>
      </c>
      <c r="I104" s="191">
        <f t="shared" si="41"/>
        <v>345.5</v>
      </c>
      <c r="J104" s="190" t="str">
        <f t="shared" si="42"/>
        <v>O12 =</v>
      </c>
      <c r="K104" s="191">
        <f t="shared" si="43"/>
        <v>345.5</v>
      </c>
      <c r="L104" s="190" t="str">
        <f t="shared" si="44"/>
        <v>M10 =</v>
      </c>
      <c r="M104" s="192">
        <f t="shared" si="45"/>
        <v>345.5</v>
      </c>
      <c r="O104" s="237">
        <v>8</v>
      </c>
      <c r="P104" s="287" t="str">
        <f t="shared" si="36"/>
        <v>_M9 =</v>
      </c>
      <c r="Q104" s="288">
        <v>4</v>
      </c>
      <c r="R104" s="289">
        <v>-7</v>
      </c>
      <c r="S104" s="290" t="str">
        <f t="shared" si="37"/>
        <v>O12 =</v>
      </c>
      <c r="T104" s="288">
        <v>4</v>
      </c>
      <c r="U104" s="291">
        <v>-2</v>
      </c>
      <c r="V104" s="290" t="str">
        <f t="shared" si="38"/>
        <v>M10 =</v>
      </c>
      <c r="W104" s="288">
        <v>4</v>
      </c>
      <c r="X104" s="292">
        <v>7</v>
      </c>
      <c r="Z104" s="315">
        <v>357.5</v>
      </c>
      <c r="AA104" s="295">
        <v>14</v>
      </c>
      <c r="AB104" s="313">
        <v>6</v>
      </c>
    </row>
    <row r="105" spans="1:28" ht="12.75">
      <c r="A105" s="145">
        <f>'Tape lengths'!D106</f>
        <v>9</v>
      </c>
      <c r="B105" s="3" t="str">
        <f>'Tape lengths'!F106</f>
        <v>___/_O2/___</v>
      </c>
      <c r="C105" s="157" t="str">
        <f t="shared" si="39"/>
        <v>268/268/268</v>
      </c>
      <c r="D105" s="3">
        <v>25</v>
      </c>
      <c r="E105" s="3">
        <v>18.5</v>
      </c>
      <c r="F105" s="147">
        <v>2</v>
      </c>
      <c r="G105" s="304"/>
      <c r="H105" s="193" t="str">
        <f t="shared" si="40"/>
        <v>None</v>
      </c>
      <c r="I105" s="194" t="str">
        <f t="shared" si="41"/>
        <v>None</v>
      </c>
      <c r="J105" s="193" t="str">
        <f t="shared" si="42"/>
        <v>_O2 =</v>
      </c>
      <c r="K105" s="194">
        <f t="shared" si="43"/>
        <v>313.5</v>
      </c>
      <c r="L105" s="193" t="str">
        <f t="shared" si="44"/>
        <v>None</v>
      </c>
      <c r="M105" s="195" t="str">
        <f t="shared" si="45"/>
        <v>None</v>
      </c>
      <c r="O105" s="230">
        <v>9</v>
      </c>
      <c r="P105" s="278">
        <f t="shared" si="36"/>
      </c>
      <c r="Q105" s="279"/>
      <c r="R105" s="280"/>
      <c r="S105" s="281" t="str">
        <f t="shared" si="37"/>
        <v>_O2 =</v>
      </c>
      <c r="T105" s="279">
        <v>4</v>
      </c>
      <c r="U105" s="280">
        <v>2</v>
      </c>
      <c r="V105" s="281">
        <f t="shared" si="38"/>
      </c>
      <c r="W105" s="279"/>
      <c r="X105" s="294"/>
      <c r="Z105" s="314">
        <v>366.5</v>
      </c>
      <c r="AA105" s="295" t="s">
        <v>213</v>
      </c>
      <c r="AB105" s="313"/>
    </row>
    <row r="106" spans="1:28" ht="13.5" thickBot="1">
      <c r="A106" s="141">
        <f>'Tape lengths'!D107</f>
        <v>9</v>
      </c>
      <c r="B106" s="142" t="str">
        <f>'Tape lengths'!F107</f>
        <v>_03/___/_01</v>
      </c>
      <c r="C106" s="159" t="str">
        <f t="shared" si="39"/>
        <v>268/268/268</v>
      </c>
      <c r="D106" s="142">
        <v>25</v>
      </c>
      <c r="E106" s="149">
        <v>62.5</v>
      </c>
      <c r="F106" s="149">
        <v>2</v>
      </c>
      <c r="G106" s="307"/>
      <c r="H106" s="196" t="str">
        <f t="shared" si="40"/>
        <v>_03 =</v>
      </c>
      <c r="I106" s="197">
        <f t="shared" si="41"/>
        <v>357.5</v>
      </c>
      <c r="J106" s="196" t="str">
        <f t="shared" si="42"/>
        <v>None</v>
      </c>
      <c r="K106" s="197" t="str">
        <f t="shared" si="43"/>
        <v>None</v>
      </c>
      <c r="L106" s="196" t="str">
        <f t="shared" si="44"/>
        <v>_01 =</v>
      </c>
      <c r="M106" s="198">
        <f t="shared" si="45"/>
        <v>357.5</v>
      </c>
      <c r="O106" s="231">
        <v>9</v>
      </c>
      <c r="P106" s="228" t="str">
        <f t="shared" si="36"/>
        <v>_03 =</v>
      </c>
      <c r="Q106" s="222">
        <v>4</v>
      </c>
      <c r="R106" s="223">
        <v>-8</v>
      </c>
      <c r="S106" s="224">
        <f t="shared" si="37"/>
      </c>
      <c r="T106" s="222"/>
      <c r="U106" s="225"/>
      <c r="V106" s="224" t="str">
        <f t="shared" si="38"/>
        <v>_01 =</v>
      </c>
      <c r="W106" s="222">
        <v>4</v>
      </c>
      <c r="X106" s="293">
        <v>8</v>
      </c>
      <c r="Z106" s="319">
        <v>367</v>
      </c>
      <c r="AA106" s="295" t="s">
        <v>213</v>
      </c>
      <c r="AB106" s="313"/>
    </row>
    <row r="107" spans="8:28" ht="13.5" thickTop="1">
      <c r="H107" s="135" t="s">
        <v>186</v>
      </c>
      <c r="I107" s="135"/>
      <c r="J107" s="131"/>
      <c r="K107" s="135"/>
      <c r="L107" s="131"/>
      <c r="M107" s="135"/>
      <c r="P107" s="135" t="s">
        <v>190</v>
      </c>
      <c r="Z107" s="315">
        <v>368.5</v>
      </c>
      <c r="AA107" s="308">
        <v>15</v>
      </c>
      <c r="AB107" s="313">
        <v>6</v>
      </c>
    </row>
    <row r="108" spans="8:28" ht="13.5" thickBot="1">
      <c r="H108" s="135" t="s">
        <v>187</v>
      </c>
      <c r="I108" s="135"/>
      <c r="J108" s="131"/>
      <c r="K108" s="135"/>
      <c r="L108" s="131"/>
      <c r="M108" s="135"/>
      <c r="P108" s="135" t="s">
        <v>191</v>
      </c>
      <c r="Z108" s="316"/>
      <c r="AA108" s="317" t="s">
        <v>214</v>
      </c>
      <c r="AB108" s="318">
        <f>SUM(AB84:AB107)</f>
        <v>66</v>
      </c>
    </row>
    <row r="109" spans="8:13" ht="12.75">
      <c r="H109" s="131"/>
      <c r="I109" s="135"/>
      <c r="J109" s="131"/>
      <c r="K109" s="135"/>
      <c r="L109" s="131"/>
      <c r="M109" s="135"/>
    </row>
    <row r="110" spans="8:13" ht="12.75">
      <c r="H110" s="131"/>
      <c r="I110" s="135"/>
      <c r="J110" s="131"/>
      <c r="K110" s="135"/>
      <c r="L110" s="131"/>
      <c r="M110" s="135"/>
    </row>
    <row r="111" spans="8:13" ht="12.75">
      <c r="H111" s="131"/>
      <c r="I111" s="135"/>
      <c r="J111" s="131"/>
      <c r="K111" s="135"/>
      <c r="L111" s="131"/>
      <c r="M111" s="135"/>
    </row>
    <row r="112" spans="8:13" ht="12.75">
      <c r="H112" s="131"/>
      <c r="I112" s="135"/>
      <c r="J112" s="131"/>
      <c r="K112" s="135"/>
      <c r="L112" s="131"/>
      <c r="M112" s="135"/>
    </row>
    <row r="113" spans="8:13" ht="12.75">
      <c r="H113" s="131"/>
      <c r="I113" s="135"/>
      <c r="J113" s="131"/>
      <c r="K113" s="135"/>
      <c r="L113" s="131"/>
      <c r="M113" s="135"/>
    </row>
    <row r="114" spans="8:13" ht="12.75">
      <c r="H114" s="131"/>
      <c r="I114" s="135"/>
      <c r="J114" s="131"/>
      <c r="K114" s="135"/>
      <c r="L114" s="131"/>
      <c r="M114" s="135"/>
    </row>
    <row r="115" spans="8:13" ht="12.75">
      <c r="H115" s="131"/>
      <c r="I115" s="135"/>
      <c r="J115" s="131"/>
      <c r="K115" s="135"/>
      <c r="L115" s="131"/>
      <c r="M115" s="135"/>
    </row>
    <row r="116" spans="8:13" ht="12.75">
      <c r="H116" s="131"/>
      <c r="I116" s="135"/>
      <c r="J116" s="131"/>
      <c r="K116" s="135"/>
      <c r="L116" s="131"/>
      <c r="M116" s="135"/>
    </row>
    <row r="117" spans="8:13" ht="12.75">
      <c r="H117" s="131"/>
      <c r="I117" s="135"/>
      <c r="J117" s="131"/>
      <c r="K117" s="135"/>
      <c r="L117" s="131"/>
      <c r="M117" s="135"/>
    </row>
    <row r="118" spans="8:13" ht="12.75">
      <c r="H118" s="131"/>
      <c r="I118" s="135"/>
      <c r="J118" s="131"/>
      <c r="K118" s="135"/>
      <c r="L118" s="131"/>
      <c r="M118" s="135"/>
    </row>
    <row r="119" spans="8:13" ht="12.75">
      <c r="H119" s="131"/>
      <c r="I119" s="135"/>
      <c r="J119" s="131"/>
      <c r="K119" s="135"/>
      <c r="L119" s="131"/>
      <c r="M119" s="135"/>
    </row>
    <row r="120" spans="8:13" ht="12.75">
      <c r="H120" s="131"/>
      <c r="I120" s="135"/>
      <c r="J120" s="131"/>
      <c r="K120" s="135"/>
      <c r="L120" s="131"/>
      <c r="M120" s="135"/>
    </row>
    <row r="121" spans="8:13" ht="12.75">
      <c r="H121" s="131"/>
      <c r="I121" s="135"/>
      <c r="J121" s="131"/>
      <c r="K121" s="135"/>
      <c r="L121" s="131"/>
      <c r="M121" s="135"/>
    </row>
    <row r="122" spans="8:13" ht="12.75">
      <c r="H122" s="131"/>
      <c r="I122" s="135"/>
      <c r="J122" s="131"/>
      <c r="K122" s="135"/>
      <c r="L122" s="131"/>
      <c r="M122" s="135"/>
    </row>
    <row r="123" spans="8:13" ht="12.75">
      <c r="H123" s="131"/>
      <c r="I123" s="135"/>
      <c r="J123" s="131"/>
      <c r="K123" s="135"/>
      <c r="L123" s="131"/>
      <c r="M123" s="135"/>
    </row>
    <row r="124" spans="8:13" ht="12.75">
      <c r="H124" s="131"/>
      <c r="I124" s="135"/>
      <c r="J124" s="131"/>
      <c r="K124" s="135"/>
      <c r="L124" s="131"/>
      <c r="M124" s="135"/>
    </row>
    <row r="125" spans="8:13" ht="12.75">
      <c r="H125" s="131"/>
      <c r="I125" s="135"/>
      <c r="J125" s="131"/>
      <c r="K125" s="135"/>
      <c r="L125" s="131"/>
      <c r="M125" s="135"/>
    </row>
    <row r="126" spans="8:13" ht="12.75">
      <c r="H126" s="131"/>
      <c r="I126" s="135"/>
      <c r="J126" s="131"/>
      <c r="K126" s="135"/>
      <c r="L126" s="131"/>
      <c r="M126" s="135"/>
    </row>
  </sheetData>
  <printOptions/>
  <pageMargins left="0.75" right="0.75" top="1" bottom="1" header="0.5" footer="0.5"/>
  <pageSetup fitToHeight="4" fitToWidth="1" horizontalDpi="600" verticalDpi="600" orientation="landscape" paperSize="8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7"/>
  <sheetViews>
    <sheetView workbookViewId="0" topLeftCell="N7">
      <selection activeCell="AD5" sqref="AD5"/>
    </sheetView>
  </sheetViews>
  <sheetFormatPr defaultColWidth="9.140625" defaultRowHeight="12.75"/>
  <cols>
    <col min="2" max="2" width="13.00390625" style="0" customWidth="1"/>
    <col min="3" max="3" width="10.7109375" style="87" customWidth="1"/>
    <col min="5" max="5" width="10.28125" style="0" customWidth="1"/>
    <col min="6" max="7" width="11.140625" style="0" customWidth="1"/>
    <col min="8" max="8" width="9.140625" style="132" customWidth="1"/>
    <col min="9" max="9" width="9.140625" style="133" customWidth="1"/>
    <col min="10" max="10" width="9.140625" style="132" customWidth="1"/>
    <col min="11" max="11" width="9.140625" style="133" customWidth="1"/>
    <col min="12" max="12" width="9.140625" style="132" customWidth="1"/>
    <col min="13" max="13" width="9.140625" style="133" customWidth="1"/>
    <col min="15" max="15" width="3.421875" style="0" customWidth="1"/>
    <col min="16" max="16" width="9.140625" style="132" customWidth="1"/>
    <col min="17" max="17" width="11.28125" style="0" customWidth="1"/>
    <col min="18" max="18" width="10.8515625" style="0" customWidth="1"/>
    <col min="19" max="19" width="9.140625" style="132" customWidth="1"/>
    <col min="20" max="20" width="11.28125" style="0" customWidth="1"/>
    <col min="21" max="21" width="10.8515625" style="0" customWidth="1"/>
    <col min="22" max="22" width="9.140625" style="132" customWidth="1"/>
    <col min="23" max="23" width="11.28125" style="0" customWidth="1"/>
    <col min="24" max="24" width="10.8515625" style="0" customWidth="1"/>
  </cols>
  <sheetData>
    <row r="1" spans="1:30" s="134" customFormat="1" ht="103.5" thickBot="1" thickTop="1">
      <c r="A1" s="324" t="s">
        <v>61</v>
      </c>
      <c r="B1" s="325" t="s">
        <v>154</v>
      </c>
      <c r="C1" s="325" t="s">
        <v>158</v>
      </c>
      <c r="D1" s="325" t="s">
        <v>159</v>
      </c>
      <c r="E1" s="325" t="s">
        <v>160</v>
      </c>
      <c r="F1" s="325" t="s">
        <v>184</v>
      </c>
      <c r="G1" s="325" t="s">
        <v>198</v>
      </c>
      <c r="H1" s="325" t="s">
        <v>155</v>
      </c>
      <c r="I1" s="325" t="s">
        <v>161</v>
      </c>
      <c r="J1" s="325" t="s">
        <v>156</v>
      </c>
      <c r="K1" s="325" t="s">
        <v>161</v>
      </c>
      <c r="L1" s="325" t="s">
        <v>157</v>
      </c>
      <c r="M1" s="326" t="s">
        <v>161</v>
      </c>
      <c r="N1" s="327"/>
      <c r="O1" s="328" t="s">
        <v>61</v>
      </c>
      <c r="P1" s="329" t="s">
        <v>188</v>
      </c>
      <c r="Q1" s="330" t="s">
        <v>189</v>
      </c>
      <c r="R1" s="331" t="s">
        <v>193</v>
      </c>
      <c r="S1" s="332" t="s">
        <v>188</v>
      </c>
      <c r="T1" s="330" t="s">
        <v>189</v>
      </c>
      <c r="U1" s="333" t="s">
        <v>192</v>
      </c>
      <c r="V1" s="332" t="s">
        <v>188</v>
      </c>
      <c r="W1" s="330" t="s">
        <v>189</v>
      </c>
      <c r="X1" s="334" t="s">
        <v>194</v>
      </c>
      <c r="Y1" s="327"/>
      <c r="Z1" s="335" t="s">
        <v>211</v>
      </c>
      <c r="AA1" s="336" t="s">
        <v>212</v>
      </c>
      <c r="AB1" s="337" t="s">
        <v>199</v>
      </c>
      <c r="AC1" s="327"/>
      <c r="AD1" s="134" t="s">
        <v>232</v>
      </c>
    </row>
    <row r="2" spans="1:29" ht="13.5" thickTop="1">
      <c r="A2" s="338">
        <f>'Tape lengths'!D3</f>
        <v>1</v>
      </c>
      <c r="B2" s="339" t="str">
        <f>'Tape lengths'!F3</f>
        <v>_O1/___/_O3</v>
      </c>
      <c r="C2" s="339" t="s">
        <v>216</v>
      </c>
      <c r="D2" s="339">
        <v>25</v>
      </c>
      <c r="E2" s="339">
        <v>62.5</v>
      </c>
      <c r="F2" s="340">
        <v>2</v>
      </c>
      <c r="G2" s="341">
        <v>43.5</v>
      </c>
      <c r="H2" s="342" t="str">
        <f aca="true" t="shared" si="0" ref="H2:H24">IF((MID(B2,1,3))="___","None",(MID(B2,1,3))&amp;" =")</f>
        <v>_O1 =</v>
      </c>
      <c r="I2" s="343">
        <f>IF((MID(B2,1,3))="___","None",(MID(C2,1,3))+D2+E2+F2+G2)</f>
        <v>277</v>
      </c>
      <c r="J2" s="342" t="str">
        <f aca="true" t="shared" si="1" ref="J2:J24">IF((MID(B2,5,3))="___","None",(MID(B2,5,3))&amp;" =")</f>
        <v>None</v>
      </c>
      <c r="K2" s="343" t="str">
        <f>IF((MID(B2,5,3))="___","None",(MID(C2,5,3))+D2+E2+F2+G2)</f>
        <v>None</v>
      </c>
      <c r="L2" s="342" t="str">
        <f aca="true" t="shared" si="2" ref="L2:L24">IF((MID(B2,9,3))="___","None",(MID(B2,9,3))&amp;" =")</f>
        <v>_O3 =</v>
      </c>
      <c r="M2" s="344">
        <f>IF((MID(B2,9,3))="___","None",(MID(C2,9,3))+D2+E2+F2+G2)</f>
        <v>277</v>
      </c>
      <c r="N2" s="345"/>
      <c r="O2" s="346">
        <v>1</v>
      </c>
      <c r="P2" s="347" t="str">
        <f aca="true" t="shared" si="3" ref="P2:P24">IF((MID(B2,1,3))="___","",(MID(B2,1,3))&amp;" =")</f>
        <v>_O1 =</v>
      </c>
      <c r="Q2" s="348">
        <v>1</v>
      </c>
      <c r="R2" s="349">
        <v>-3</v>
      </c>
      <c r="S2" s="350">
        <f aca="true" t="shared" si="4" ref="S2:S24">IF((MID(B2,5,3))="___","",(MID(B2,5,3))&amp;" =")</f>
      </c>
      <c r="T2" s="348"/>
      <c r="U2" s="351"/>
      <c r="V2" s="350" t="str">
        <f aca="true" t="shared" si="5" ref="V2:V24">IF((MID(B2,9,3))="___","",(MID(B2,9,3))&amp;" =")</f>
        <v>_O3 =</v>
      </c>
      <c r="W2" s="348">
        <v>1</v>
      </c>
      <c r="X2" s="352">
        <v>4</v>
      </c>
      <c r="Y2" s="345"/>
      <c r="Z2" s="353">
        <v>188.5</v>
      </c>
      <c r="AA2" s="354">
        <v>1</v>
      </c>
      <c r="AB2" s="355">
        <v>3</v>
      </c>
      <c r="AC2" s="345">
        <v>3</v>
      </c>
    </row>
    <row r="3" spans="1:29" ht="13.5" thickBot="1">
      <c r="A3" s="356">
        <f>'Tape lengths'!D4</f>
        <v>1</v>
      </c>
      <c r="B3" s="357" t="str">
        <f>'Tape lengths'!F4</f>
        <v>_M1/_O2/_M2</v>
      </c>
      <c r="C3" s="357" t="str">
        <f>C2</f>
        <v>144/144/144</v>
      </c>
      <c r="D3" s="357">
        <v>25</v>
      </c>
      <c r="E3" s="357">
        <v>106.5</v>
      </c>
      <c r="F3" s="358">
        <v>2</v>
      </c>
      <c r="G3" s="359">
        <v>43.5</v>
      </c>
      <c r="H3" s="360" t="str">
        <f t="shared" si="0"/>
        <v>_M1 =</v>
      </c>
      <c r="I3" s="361">
        <f>IF((MID(B3,1,3))="___","None",(MID(C3,1,3))+D3+E3+F3+G3)</f>
        <v>321</v>
      </c>
      <c r="J3" s="360" t="str">
        <f t="shared" si="1"/>
        <v>_O2 =</v>
      </c>
      <c r="K3" s="361">
        <f>IF((MID(B3,5,3))="___","None",(MID(C3,5,3))+D3+E3+F3+G3)</f>
        <v>321</v>
      </c>
      <c r="L3" s="360" t="str">
        <f t="shared" si="2"/>
        <v>_M2 =</v>
      </c>
      <c r="M3" s="362">
        <f>IF((MID(B3,9,3))="___","None",(MID(C3,9,3))+D3+E3+F3+G3)</f>
        <v>321</v>
      </c>
      <c r="N3" s="345"/>
      <c r="O3" s="363">
        <v>1</v>
      </c>
      <c r="P3" s="364" t="str">
        <f t="shared" si="3"/>
        <v>_M1 =</v>
      </c>
      <c r="Q3" s="365">
        <v>1</v>
      </c>
      <c r="R3" s="366">
        <v>-4</v>
      </c>
      <c r="S3" s="367" t="str">
        <f t="shared" si="4"/>
        <v>_O2 =</v>
      </c>
      <c r="T3" s="365">
        <v>1</v>
      </c>
      <c r="U3" s="368">
        <v>0</v>
      </c>
      <c r="V3" s="367" t="str">
        <f t="shared" si="5"/>
        <v>_M2 =</v>
      </c>
      <c r="W3" s="365">
        <v>1</v>
      </c>
      <c r="X3" s="369">
        <v>5</v>
      </c>
      <c r="Y3" s="345"/>
      <c r="Z3" s="370">
        <v>195.5</v>
      </c>
      <c r="AA3" s="354" t="s">
        <v>213</v>
      </c>
      <c r="AB3" s="355"/>
      <c r="AC3" s="345">
        <v>3</v>
      </c>
    </row>
    <row r="4" spans="1:29" ht="12.75">
      <c r="A4" s="371">
        <f>'Tape lengths'!D5</f>
        <v>2</v>
      </c>
      <c r="B4" s="372" t="str">
        <f>'Tape lengths'!F5</f>
        <v>_O1/_I2/_O3</v>
      </c>
      <c r="C4" s="372" t="s">
        <v>217</v>
      </c>
      <c r="D4" s="372">
        <v>25</v>
      </c>
      <c r="E4" s="372">
        <v>18.5</v>
      </c>
      <c r="F4" s="373">
        <v>2</v>
      </c>
      <c r="G4" s="374"/>
      <c r="H4" s="375" t="str">
        <f t="shared" si="0"/>
        <v>_O1 =</v>
      </c>
      <c r="I4" s="376">
        <f aca="true" t="shared" si="6" ref="I4:I24">IF((MID(B4,1,3))="___","None",(MID(C4,1,3))+D4+E4+F4)</f>
        <v>188.5</v>
      </c>
      <c r="J4" s="375" t="str">
        <f t="shared" si="1"/>
        <v>_I2 =</v>
      </c>
      <c r="K4" s="376">
        <f aca="true" t="shared" si="7" ref="K4:K24">IF((MID(B4,5,3))="___","None",(MID(C4,5,3))+D4+E4+F4)</f>
        <v>188.5</v>
      </c>
      <c r="L4" s="375" t="str">
        <f t="shared" si="2"/>
        <v>_O3 =</v>
      </c>
      <c r="M4" s="377">
        <f aca="true" t="shared" si="8" ref="M4:M24">IF((MID(B4,9,3))="___","None",(MID(C4,9,3))+D4+E4+F4)</f>
        <v>188.5</v>
      </c>
      <c r="N4" s="345"/>
      <c r="O4" s="378">
        <v>2</v>
      </c>
      <c r="P4" s="379" t="str">
        <f t="shared" si="3"/>
        <v>_O1 =</v>
      </c>
      <c r="Q4" s="380">
        <v>1</v>
      </c>
      <c r="R4" s="381">
        <v>-5</v>
      </c>
      <c r="S4" s="382" t="str">
        <f t="shared" si="4"/>
        <v>_I2 =</v>
      </c>
      <c r="T4" s="380">
        <v>1</v>
      </c>
      <c r="U4" s="383">
        <v>-1</v>
      </c>
      <c r="V4" s="382" t="str">
        <f t="shared" si="5"/>
        <v>_O3 =</v>
      </c>
      <c r="W4" s="380">
        <v>1</v>
      </c>
      <c r="X4" s="384">
        <v>6</v>
      </c>
      <c r="Y4" s="345"/>
      <c r="Z4" s="385">
        <v>198.5</v>
      </c>
      <c r="AA4" s="354">
        <v>2</v>
      </c>
      <c r="AB4" s="355">
        <v>6</v>
      </c>
      <c r="AC4" s="345">
        <v>3</v>
      </c>
    </row>
    <row r="5" spans="1:29" ht="12.75">
      <c r="A5" s="356">
        <f>'Tape lengths'!D6</f>
        <v>2</v>
      </c>
      <c r="B5" s="357" t="str">
        <f>'Tape lengths'!F6</f>
        <v>_I1/_02/_M2</v>
      </c>
      <c r="C5" s="357" t="str">
        <f aca="true" t="shared" si="9" ref="C5:C24">C4</f>
        <v>143/143/143</v>
      </c>
      <c r="D5" s="357">
        <v>25</v>
      </c>
      <c r="E5" s="357">
        <v>62.5</v>
      </c>
      <c r="F5" s="358">
        <v>2</v>
      </c>
      <c r="G5" s="359"/>
      <c r="H5" s="360" t="str">
        <f t="shared" si="0"/>
        <v>_I1 =</v>
      </c>
      <c r="I5" s="361">
        <f t="shared" si="6"/>
        <v>232.5</v>
      </c>
      <c r="J5" s="360" t="str">
        <f t="shared" si="1"/>
        <v>_02 =</v>
      </c>
      <c r="K5" s="361">
        <f t="shared" si="7"/>
        <v>232.5</v>
      </c>
      <c r="L5" s="360" t="str">
        <f t="shared" si="2"/>
        <v>_M2 =</v>
      </c>
      <c r="M5" s="362">
        <f t="shared" si="8"/>
        <v>232.5</v>
      </c>
      <c r="N5" s="345"/>
      <c r="O5" s="346">
        <v>2</v>
      </c>
      <c r="P5" s="347" t="str">
        <f t="shared" si="3"/>
        <v>_I1 =</v>
      </c>
      <c r="Q5" s="348">
        <v>1</v>
      </c>
      <c r="R5" s="349">
        <v>-6</v>
      </c>
      <c r="S5" s="350" t="str">
        <f t="shared" si="4"/>
        <v>_02 =</v>
      </c>
      <c r="T5" s="348">
        <v>1</v>
      </c>
      <c r="U5" s="351">
        <v>1</v>
      </c>
      <c r="V5" s="350" t="str">
        <f t="shared" si="5"/>
        <v>_M2 =</v>
      </c>
      <c r="W5" s="348">
        <v>1</v>
      </c>
      <c r="X5" s="352">
        <v>7</v>
      </c>
      <c r="Y5" s="345"/>
      <c r="Z5" s="353">
        <v>207.5</v>
      </c>
      <c r="AA5" s="354">
        <v>3</v>
      </c>
      <c r="AB5" s="355">
        <v>3</v>
      </c>
      <c r="AC5" s="345">
        <v>3</v>
      </c>
    </row>
    <row r="6" spans="1:29" ht="13.5" thickBot="1">
      <c r="A6" s="356">
        <f>'Tape lengths'!D7</f>
        <v>2</v>
      </c>
      <c r="B6" s="357" t="str">
        <f>'Tape lengths'!F7</f>
        <v>_M1/___/___</v>
      </c>
      <c r="C6" s="357" t="str">
        <f t="shared" si="9"/>
        <v>143/143/143</v>
      </c>
      <c r="D6" s="357">
        <v>25</v>
      </c>
      <c r="E6" s="357">
        <v>106.5</v>
      </c>
      <c r="F6" s="358">
        <v>2</v>
      </c>
      <c r="G6" s="359"/>
      <c r="H6" s="360" t="str">
        <f t="shared" si="0"/>
        <v>_M1 =</v>
      </c>
      <c r="I6" s="361">
        <f t="shared" si="6"/>
        <v>276.5</v>
      </c>
      <c r="J6" s="360" t="str">
        <f t="shared" si="1"/>
        <v>None</v>
      </c>
      <c r="K6" s="361" t="str">
        <f t="shared" si="7"/>
        <v>None</v>
      </c>
      <c r="L6" s="360" t="str">
        <f t="shared" si="2"/>
        <v>None</v>
      </c>
      <c r="M6" s="362" t="str">
        <f t="shared" si="8"/>
        <v>None</v>
      </c>
      <c r="N6" s="345"/>
      <c r="O6" s="363">
        <v>2</v>
      </c>
      <c r="P6" s="364" t="str">
        <f t="shared" si="3"/>
        <v>_M1 =</v>
      </c>
      <c r="Q6" s="365">
        <v>1</v>
      </c>
      <c r="R6" s="366">
        <v>-7</v>
      </c>
      <c r="S6" s="367">
        <f t="shared" si="4"/>
      </c>
      <c r="T6" s="365"/>
      <c r="U6" s="368"/>
      <c r="V6" s="367">
        <f t="shared" si="5"/>
      </c>
      <c r="W6" s="365"/>
      <c r="X6" s="369"/>
      <c r="Y6" s="345"/>
      <c r="Z6" s="353">
        <v>213.5</v>
      </c>
      <c r="AA6" s="354">
        <v>4</v>
      </c>
      <c r="AB6" s="355">
        <v>3</v>
      </c>
      <c r="AC6" s="345">
        <v>3</v>
      </c>
    </row>
    <row r="7" spans="1:29" ht="12.75">
      <c r="A7" s="371">
        <f>'Tape lengths'!D8</f>
        <v>3</v>
      </c>
      <c r="B7" s="372" t="str">
        <f>'Tape lengths'!F8</f>
        <v>_O1/_I2/_O3</v>
      </c>
      <c r="C7" s="372" t="s">
        <v>218</v>
      </c>
      <c r="D7" s="372">
        <v>25</v>
      </c>
      <c r="E7" s="372">
        <v>18.5</v>
      </c>
      <c r="F7" s="373">
        <v>2</v>
      </c>
      <c r="G7" s="374"/>
      <c r="H7" s="386" t="str">
        <f t="shared" si="0"/>
        <v>_O1 =</v>
      </c>
      <c r="I7" s="387">
        <f t="shared" si="6"/>
        <v>195.5</v>
      </c>
      <c r="J7" s="386" t="str">
        <f t="shared" si="1"/>
        <v>_I2 =</v>
      </c>
      <c r="K7" s="387">
        <f t="shared" si="7"/>
        <v>195.5</v>
      </c>
      <c r="L7" s="386" t="str">
        <f t="shared" si="2"/>
        <v>_O3 =</v>
      </c>
      <c r="M7" s="388">
        <f t="shared" si="8"/>
        <v>195.5</v>
      </c>
      <c r="N7" s="345"/>
      <c r="O7" s="346">
        <v>3</v>
      </c>
      <c r="P7" s="389" t="str">
        <f t="shared" si="3"/>
        <v>_O1 =</v>
      </c>
      <c r="Q7" s="390">
        <v>2</v>
      </c>
      <c r="R7" s="391">
        <v>-3</v>
      </c>
      <c r="S7" s="392" t="str">
        <f t="shared" si="4"/>
        <v>_I2 =</v>
      </c>
      <c r="T7" s="390">
        <v>2</v>
      </c>
      <c r="U7" s="393">
        <v>0</v>
      </c>
      <c r="V7" s="392" t="str">
        <f t="shared" si="5"/>
        <v>_O3 =</v>
      </c>
      <c r="W7" s="390">
        <v>2</v>
      </c>
      <c r="X7" s="394">
        <v>5</v>
      </c>
      <c r="Y7" s="345"/>
      <c r="Z7" s="353">
        <v>223.5</v>
      </c>
      <c r="AA7" s="354">
        <v>5</v>
      </c>
      <c r="AB7" s="355">
        <v>2</v>
      </c>
      <c r="AC7" s="345">
        <v>2</v>
      </c>
    </row>
    <row r="8" spans="1:29" ht="12.75">
      <c r="A8" s="356">
        <f>'Tape lengths'!D9</f>
        <v>3</v>
      </c>
      <c r="B8" s="357" t="str">
        <f>'Tape lengths'!F9</f>
        <v>_I1/_02/_M2</v>
      </c>
      <c r="C8" s="357" t="str">
        <f t="shared" si="9"/>
        <v>150/150/150</v>
      </c>
      <c r="D8" s="357">
        <v>25</v>
      </c>
      <c r="E8" s="357">
        <v>62.5</v>
      </c>
      <c r="F8" s="358">
        <v>2</v>
      </c>
      <c r="G8" s="359"/>
      <c r="H8" s="395" t="str">
        <f t="shared" si="0"/>
        <v>_I1 =</v>
      </c>
      <c r="I8" s="396">
        <f t="shared" si="6"/>
        <v>239.5</v>
      </c>
      <c r="J8" s="395" t="str">
        <f t="shared" si="1"/>
        <v>_02 =</v>
      </c>
      <c r="K8" s="396">
        <f t="shared" si="7"/>
        <v>239.5</v>
      </c>
      <c r="L8" s="395" t="str">
        <f t="shared" si="2"/>
        <v>_M2 =</v>
      </c>
      <c r="M8" s="397">
        <f t="shared" si="8"/>
        <v>239.5</v>
      </c>
      <c r="N8" s="345"/>
      <c r="O8" s="346">
        <v>3</v>
      </c>
      <c r="P8" s="398" t="str">
        <f t="shared" si="3"/>
        <v>_I1 =</v>
      </c>
      <c r="Q8" s="399">
        <v>2</v>
      </c>
      <c r="R8" s="400">
        <v>-4</v>
      </c>
      <c r="S8" s="401" t="str">
        <f t="shared" si="4"/>
        <v>_02 =</v>
      </c>
      <c r="T8" s="399">
        <v>2</v>
      </c>
      <c r="U8" s="402">
        <v>-1</v>
      </c>
      <c r="V8" s="401" t="str">
        <f t="shared" si="5"/>
        <v>_M2 =</v>
      </c>
      <c r="W8" s="399">
        <v>2</v>
      </c>
      <c r="X8" s="403">
        <v>6</v>
      </c>
      <c r="Y8" s="345"/>
      <c r="Z8" s="370">
        <v>232.5</v>
      </c>
      <c r="AA8" s="354" t="s">
        <v>213</v>
      </c>
      <c r="AB8" s="355"/>
      <c r="AC8" s="345">
        <v>3</v>
      </c>
    </row>
    <row r="9" spans="1:29" ht="13.5" thickBot="1">
      <c r="A9" s="356">
        <f>'Tape lengths'!D10</f>
        <v>3</v>
      </c>
      <c r="B9" s="357" t="str">
        <f>'Tape lengths'!F10</f>
        <v>_M1/___/___</v>
      </c>
      <c r="C9" s="357" t="str">
        <f t="shared" si="9"/>
        <v>150/150/150</v>
      </c>
      <c r="D9" s="357">
        <v>25</v>
      </c>
      <c r="E9" s="357">
        <v>106.5</v>
      </c>
      <c r="F9" s="358">
        <v>2</v>
      </c>
      <c r="G9" s="359"/>
      <c r="H9" s="395" t="str">
        <f t="shared" si="0"/>
        <v>_M1 =</v>
      </c>
      <c r="I9" s="396">
        <f t="shared" si="6"/>
        <v>283.5</v>
      </c>
      <c r="J9" s="395" t="str">
        <f t="shared" si="1"/>
        <v>None</v>
      </c>
      <c r="K9" s="396" t="str">
        <f t="shared" si="7"/>
        <v>None</v>
      </c>
      <c r="L9" s="395" t="str">
        <f t="shared" si="2"/>
        <v>None</v>
      </c>
      <c r="M9" s="397" t="str">
        <f t="shared" si="8"/>
        <v>None</v>
      </c>
      <c r="N9" s="345"/>
      <c r="O9" s="363">
        <v>3</v>
      </c>
      <c r="P9" s="404" t="str">
        <f t="shared" si="3"/>
        <v>_M1 =</v>
      </c>
      <c r="Q9" s="405">
        <v>2</v>
      </c>
      <c r="R9" s="406">
        <v>-5</v>
      </c>
      <c r="S9" s="407">
        <f t="shared" si="4"/>
      </c>
      <c r="T9" s="405"/>
      <c r="U9" s="408"/>
      <c r="V9" s="407">
        <f t="shared" si="5"/>
      </c>
      <c r="W9" s="405"/>
      <c r="X9" s="409"/>
      <c r="Y9" s="345"/>
      <c r="Z9" s="385">
        <v>232.5</v>
      </c>
      <c r="AA9" s="354">
        <v>6</v>
      </c>
      <c r="AB9" s="355">
        <v>5</v>
      </c>
      <c r="AC9" s="345">
        <v>2</v>
      </c>
    </row>
    <row r="10" spans="1:29" ht="12.75">
      <c r="A10" s="371">
        <f>'Tape lengths'!D11</f>
        <v>4</v>
      </c>
      <c r="B10" s="372" t="str">
        <f>'Tape lengths'!F11</f>
        <v>_O1/_I2/_O3</v>
      </c>
      <c r="C10" s="372" t="s">
        <v>219</v>
      </c>
      <c r="D10" s="372">
        <v>25</v>
      </c>
      <c r="E10" s="372">
        <v>18.5</v>
      </c>
      <c r="F10" s="373">
        <v>2</v>
      </c>
      <c r="G10" s="374"/>
      <c r="H10" s="386" t="str">
        <f t="shared" si="0"/>
        <v>_O1 =</v>
      </c>
      <c r="I10" s="387">
        <f t="shared" si="6"/>
        <v>198.5</v>
      </c>
      <c r="J10" s="386" t="str">
        <f t="shared" si="1"/>
        <v>_I2 =</v>
      </c>
      <c r="K10" s="387">
        <f t="shared" si="7"/>
        <v>198.5</v>
      </c>
      <c r="L10" s="386" t="str">
        <f t="shared" si="2"/>
        <v>_O3 =</v>
      </c>
      <c r="M10" s="388">
        <f t="shared" si="8"/>
        <v>198.5</v>
      </c>
      <c r="N10" s="345"/>
      <c r="O10" s="346">
        <v>4</v>
      </c>
      <c r="P10" s="389" t="str">
        <f t="shared" si="3"/>
        <v>_O1 =</v>
      </c>
      <c r="Q10" s="390">
        <v>2</v>
      </c>
      <c r="R10" s="391">
        <v>-6</v>
      </c>
      <c r="S10" s="392" t="str">
        <f t="shared" si="4"/>
        <v>_I2 =</v>
      </c>
      <c r="T10" s="390">
        <v>2</v>
      </c>
      <c r="U10" s="393">
        <v>1</v>
      </c>
      <c r="V10" s="392" t="str">
        <f t="shared" si="5"/>
        <v>_O3 =</v>
      </c>
      <c r="W10" s="390">
        <v>2</v>
      </c>
      <c r="X10" s="394">
        <v>7</v>
      </c>
      <c r="Y10" s="345"/>
      <c r="Z10" s="353">
        <v>239.5</v>
      </c>
      <c r="AA10" s="354">
        <v>7</v>
      </c>
      <c r="AB10" s="355">
        <v>3</v>
      </c>
      <c r="AC10" s="345">
        <v>3</v>
      </c>
    </row>
    <row r="11" spans="1:29" ht="12.75">
      <c r="A11" s="356">
        <f>'Tape lengths'!D12</f>
        <v>4</v>
      </c>
      <c r="B11" s="357" t="str">
        <f>'Tape lengths'!F12</f>
        <v>_I1/_02/_M2</v>
      </c>
      <c r="C11" s="357" t="str">
        <f t="shared" si="9"/>
        <v>153/153/153</v>
      </c>
      <c r="D11" s="357">
        <v>25</v>
      </c>
      <c r="E11" s="357">
        <v>62.5</v>
      </c>
      <c r="F11" s="358">
        <v>2</v>
      </c>
      <c r="G11" s="359"/>
      <c r="H11" s="395" t="str">
        <f t="shared" si="0"/>
        <v>_I1 =</v>
      </c>
      <c r="I11" s="396">
        <f t="shared" si="6"/>
        <v>242.5</v>
      </c>
      <c r="J11" s="395" t="str">
        <f t="shared" si="1"/>
        <v>_02 =</v>
      </c>
      <c r="K11" s="396">
        <f t="shared" si="7"/>
        <v>242.5</v>
      </c>
      <c r="L11" s="395" t="str">
        <f t="shared" si="2"/>
        <v>_M2 =</v>
      </c>
      <c r="M11" s="397">
        <f t="shared" si="8"/>
        <v>242.5</v>
      </c>
      <c r="N11" s="345"/>
      <c r="O11" s="346">
        <v>4</v>
      </c>
      <c r="P11" s="398" t="str">
        <f t="shared" si="3"/>
        <v>_I1 =</v>
      </c>
      <c r="Q11" s="399">
        <v>2</v>
      </c>
      <c r="R11" s="400">
        <v>-7</v>
      </c>
      <c r="S11" s="401" t="str">
        <f t="shared" si="4"/>
        <v>_02 =</v>
      </c>
      <c r="T11" s="399">
        <v>2</v>
      </c>
      <c r="U11" s="402">
        <v>2</v>
      </c>
      <c r="V11" s="401" t="str">
        <f t="shared" si="5"/>
        <v>_M2 =</v>
      </c>
      <c r="W11" s="399">
        <v>2</v>
      </c>
      <c r="X11" s="403">
        <v>8</v>
      </c>
      <c r="Y11" s="345"/>
      <c r="Z11" s="370">
        <v>242.5</v>
      </c>
      <c r="AA11" s="354" t="s">
        <v>213</v>
      </c>
      <c r="AB11" s="355"/>
      <c r="AC11" s="345">
        <v>3</v>
      </c>
    </row>
    <row r="12" spans="1:29" ht="13.5" thickBot="1">
      <c r="A12" s="356">
        <f>'Tape lengths'!D13</f>
        <v>4</v>
      </c>
      <c r="B12" s="357" t="str">
        <f>'Tape lengths'!F13</f>
        <v>_M1/___/___</v>
      </c>
      <c r="C12" s="357" t="s">
        <v>220</v>
      </c>
      <c r="D12" s="357">
        <v>25</v>
      </c>
      <c r="E12" s="357">
        <v>106.5</v>
      </c>
      <c r="F12" s="358">
        <v>2</v>
      </c>
      <c r="G12" s="359"/>
      <c r="H12" s="395" t="str">
        <f t="shared" si="0"/>
        <v>_M1 =</v>
      </c>
      <c r="I12" s="396">
        <f t="shared" si="6"/>
        <v>286.5</v>
      </c>
      <c r="J12" s="410" t="str">
        <f t="shared" si="1"/>
        <v>None</v>
      </c>
      <c r="K12" s="411" t="str">
        <f t="shared" si="7"/>
        <v>None</v>
      </c>
      <c r="L12" s="395" t="str">
        <f t="shared" si="2"/>
        <v>None</v>
      </c>
      <c r="M12" s="397" t="str">
        <f t="shared" si="8"/>
        <v>None</v>
      </c>
      <c r="N12" s="345"/>
      <c r="O12" s="363">
        <v>4</v>
      </c>
      <c r="P12" s="404" t="str">
        <f t="shared" si="3"/>
        <v>_M1 =</v>
      </c>
      <c r="Q12" s="405">
        <v>2</v>
      </c>
      <c r="R12" s="406">
        <v>-8</v>
      </c>
      <c r="S12" s="412">
        <f t="shared" si="4"/>
      </c>
      <c r="T12" s="413"/>
      <c r="U12" s="414"/>
      <c r="V12" s="407">
        <f t="shared" si="5"/>
      </c>
      <c r="W12" s="405"/>
      <c r="X12" s="409"/>
      <c r="Y12" s="345"/>
      <c r="Z12" s="385">
        <v>242.5</v>
      </c>
      <c r="AA12" s="354">
        <v>8</v>
      </c>
      <c r="AB12" s="355">
        <v>4</v>
      </c>
      <c r="AC12" s="345">
        <v>1</v>
      </c>
    </row>
    <row r="13" spans="1:29" ht="12.75">
      <c r="A13" s="371">
        <f>'Tape lengths'!D14</f>
        <v>5</v>
      </c>
      <c r="B13" s="372" t="str">
        <f>'Tape lengths'!F14</f>
        <v>_O1/_I2/_O3</v>
      </c>
      <c r="C13" s="372" t="s">
        <v>221</v>
      </c>
      <c r="D13" s="372">
        <v>25</v>
      </c>
      <c r="E13" s="372">
        <v>18.5</v>
      </c>
      <c r="F13" s="373">
        <v>2</v>
      </c>
      <c r="G13" s="374"/>
      <c r="H13" s="415" t="str">
        <f t="shared" si="0"/>
        <v>_O1 =</v>
      </c>
      <c r="I13" s="416">
        <f t="shared" si="6"/>
        <v>207.5</v>
      </c>
      <c r="J13" s="415" t="str">
        <f t="shared" si="1"/>
        <v>_I2 =</v>
      </c>
      <c r="K13" s="416">
        <f t="shared" si="7"/>
        <v>207.5</v>
      </c>
      <c r="L13" s="415" t="str">
        <f t="shared" si="2"/>
        <v>_O3 =</v>
      </c>
      <c r="M13" s="417">
        <f t="shared" si="8"/>
        <v>207.5</v>
      </c>
      <c r="N13" s="345"/>
      <c r="O13" s="346">
        <v>5</v>
      </c>
      <c r="P13" s="418" t="str">
        <f t="shared" si="3"/>
        <v>_O1 =</v>
      </c>
      <c r="Q13" s="419">
        <v>3</v>
      </c>
      <c r="R13" s="420">
        <v>-4</v>
      </c>
      <c r="S13" s="421" t="str">
        <f t="shared" si="4"/>
        <v>_I2 =</v>
      </c>
      <c r="T13" s="419">
        <v>3</v>
      </c>
      <c r="U13" s="422">
        <v>0</v>
      </c>
      <c r="V13" s="421" t="str">
        <f t="shared" si="5"/>
        <v>_O3 =</v>
      </c>
      <c r="W13" s="419">
        <v>3</v>
      </c>
      <c r="X13" s="423">
        <v>5</v>
      </c>
      <c r="Y13" s="345"/>
      <c r="Z13" s="353">
        <v>251.5</v>
      </c>
      <c r="AA13" s="354">
        <v>9</v>
      </c>
      <c r="AB13" s="355">
        <v>3</v>
      </c>
      <c r="AC13" s="345">
        <v>3</v>
      </c>
    </row>
    <row r="14" spans="1:29" ht="12.75">
      <c r="A14" s="356">
        <f>'Tape lengths'!D15</f>
        <v>5</v>
      </c>
      <c r="B14" s="357" t="str">
        <f>'Tape lengths'!F15</f>
        <v>_I1/_02/_M2</v>
      </c>
      <c r="C14" s="357" t="str">
        <f t="shared" si="9"/>
        <v>162/162/162</v>
      </c>
      <c r="D14" s="357">
        <v>25</v>
      </c>
      <c r="E14" s="357">
        <v>62.5</v>
      </c>
      <c r="F14" s="358">
        <v>2</v>
      </c>
      <c r="G14" s="359"/>
      <c r="H14" s="410" t="str">
        <f t="shared" si="0"/>
        <v>_I1 =</v>
      </c>
      <c r="I14" s="411">
        <f t="shared" si="6"/>
        <v>251.5</v>
      </c>
      <c r="J14" s="410" t="str">
        <f t="shared" si="1"/>
        <v>_02 =</v>
      </c>
      <c r="K14" s="411">
        <f t="shared" si="7"/>
        <v>251.5</v>
      </c>
      <c r="L14" s="410" t="str">
        <f t="shared" si="2"/>
        <v>_M2 =</v>
      </c>
      <c r="M14" s="424">
        <f t="shared" si="8"/>
        <v>251.5</v>
      </c>
      <c r="N14" s="345"/>
      <c r="O14" s="346">
        <v>5</v>
      </c>
      <c r="P14" s="425" t="str">
        <f t="shared" si="3"/>
        <v>_I1 =</v>
      </c>
      <c r="Q14" s="426">
        <v>3</v>
      </c>
      <c r="R14" s="427">
        <v>-5</v>
      </c>
      <c r="S14" s="428" t="str">
        <f t="shared" si="4"/>
        <v>_02 =</v>
      </c>
      <c r="T14" s="426">
        <v>3</v>
      </c>
      <c r="U14" s="429">
        <v>-1</v>
      </c>
      <c r="V14" s="428" t="str">
        <f t="shared" si="5"/>
        <v>_M2 =</v>
      </c>
      <c r="W14" s="426">
        <v>3</v>
      </c>
      <c r="X14" s="430">
        <v>6</v>
      </c>
      <c r="Y14" s="345"/>
      <c r="Z14" s="353">
        <v>257.5</v>
      </c>
      <c r="AA14" s="354">
        <v>10</v>
      </c>
      <c r="AB14" s="355">
        <v>3</v>
      </c>
      <c r="AC14" s="345">
        <v>3</v>
      </c>
    </row>
    <row r="15" spans="1:29" ht="13.5" thickBot="1">
      <c r="A15" s="356">
        <f>'Tape lengths'!D16</f>
        <v>5</v>
      </c>
      <c r="B15" s="357" t="str">
        <f>'Tape lengths'!F16</f>
        <v>_M1/___/___</v>
      </c>
      <c r="C15" s="357" t="str">
        <f t="shared" si="9"/>
        <v>162/162/162</v>
      </c>
      <c r="D15" s="357">
        <v>25</v>
      </c>
      <c r="E15" s="357">
        <v>106.5</v>
      </c>
      <c r="F15" s="358">
        <v>2</v>
      </c>
      <c r="G15" s="359"/>
      <c r="H15" s="410" t="str">
        <f t="shared" si="0"/>
        <v>_M1 =</v>
      </c>
      <c r="I15" s="411">
        <f t="shared" si="6"/>
        <v>295.5</v>
      </c>
      <c r="J15" s="410" t="str">
        <f t="shared" si="1"/>
        <v>None</v>
      </c>
      <c r="K15" s="411" t="str">
        <f t="shared" si="7"/>
        <v>None</v>
      </c>
      <c r="L15" s="410" t="str">
        <f t="shared" si="2"/>
        <v>None</v>
      </c>
      <c r="M15" s="424" t="str">
        <f t="shared" si="8"/>
        <v>None</v>
      </c>
      <c r="N15" s="345"/>
      <c r="O15" s="363">
        <v>5</v>
      </c>
      <c r="P15" s="431" t="str">
        <f t="shared" si="3"/>
        <v>_M1 =</v>
      </c>
      <c r="Q15" s="413">
        <v>3</v>
      </c>
      <c r="R15" s="432">
        <v>-6</v>
      </c>
      <c r="S15" s="412">
        <f t="shared" si="4"/>
      </c>
      <c r="T15" s="413"/>
      <c r="U15" s="414"/>
      <c r="V15" s="412">
        <f t="shared" si="5"/>
      </c>
      <c r="W15" s="413"/>
      <c r="X15" s="433"/>
      <c r="Y15" s="345"/>
      <c r="Z15" s="353">
        <v>267.5</v>
      </c>
      <c r="AA15" s="354">
        <v>11</v>
      </c>
      <c r="AB15" s="355">
        <v>3</v>
      </c>
      <c r="AC15" s="345">
        <v>3</v>
      </c>
    </row>
    <row r="16" spans="1:29" ht="12.75">
      <c r="A16" s="371">
        <f>'Tape lengths'!D17</f>
        <v>6</v>
      </c>
      <c r="B16" s="372" t="str">
        <f>'Tape lengths'!F17</f>
        <v>_O1/_I2/_O3</v>
      </c>
      <c r="C16" s="372" t="s">
        <v>222</v>
      </c>
      <c r="D16" s="372">
        <v>25</v>
      </c>
      <c r="E16" s="372">
        <v>18.5</v>
      </c>
      <c r="F16" s="373">
        <v>2</v>
      </c>
      <c r="G16" s="374"/>
      <c r="H16" s="415" t="str">
        <f t="shared" si="0"/>
        <v>_O1 =</v>
      </c>
      <c r="I16" s="416">
        <f t="shared" si="6"/>
        <v>213.5</v>
      </c>
      <c r="J16" s="415" t="str">
        <f t="shared" si="1"/>
        <v>_I2 =</v>
      </c>
      <c r="K16" s="416">
        <f t="shared" si="7"/>
        <v>213.5</v>
      </c>
      <c r="L16" s="415" t="str">
        <f t="shared" si="2"/>
        <v>_O3 =</v>
      </c>
      <c r="M16" s="417">
        <f t="shared" si="8"/>
        <v>213.5</v>
      </c>
      <c r="N16" s="345"/>
      <c r="O16" s="346">
        <v>6</v>
      </c>
      <c r="P16" s="418" t="str">
        <f t="shared" si="3"/>
        <v>_O1 =</v>
      </c>
      <c r="Q16" s="419">
        <v>3</v>
      </c>
      <c r="R16" s="420">
        <v>-7</v>
      </c>
      <c r="S16" s="421" t="str">
        <f t="shared" si="4"/>
        <v>_I2 =</v>
      </c>
      <c r="T16" s="419">
        <v>3</v>
      </c>
      <c r="U16" s="422">
        <v>1</v>
      </c>
      <c r="V16" s="421" t="str">
        <f t="shared" si="5"/>
        <v>_O3 =</v>
      </c>
      <c r="W16" s="419">
        <v>3</v>
      </c>
      <c r="X16" s="423">
        <v>7</v>
      </c>
      <c r="Y16" s="345"/>
      <c r="Z16" s="370">
        <v>276.5</v>
      </c>
      <c r="AA16" s="354" t="s">
        <v>213</v>
      </c>
      <c r="AB16" s="355"/>
      <c r="AC16" s="345">
        <v>1</v>
      </c>
    </row>
    <row r="17" spans="1:29" ht="12.75">
      <c r="A17" s="356">
        <f>'Tape lengths'!D18</f>
        <v>6</v>
      </c>
      <c r="B17" s="357" t="str">
        <f>'Tape lengths'!F18</f>
        <v>_I1/_02/_M2</v>
      </c>
      <c r="C17" s="357" t="str">
        <f t="shared" si="9"/>
        <v>168/168/168</v>
      </c>
      <c r="D17" s="357">
        <v>25</v>
      </c>
      <c r="E17" s="357">
        <v>62.5</v>
      </c>
      <c r="F17" s="358">
        <v>2</v>
      </c>
      <c r="G17" s="359"/>
      <c r="H17" s="410" t="str">
        <f t="shared" si="0"/>
        <v>_I1 =</v>
      </c>
      <c r="I17" s="411">
        <f t="shared" si="6"/>
        <v>257.5</v>
      </c>
      <c r="J17" s="410" t="str">
        <f t="shared" si="1"/>
        <v>_02 =</v>
      </c>
      <c r="K17" s="411">
        <f t="shared" si="7"/>
        <v>257.5</v>
      </c>
      <c r="L17" s="410" t="str">
        <f t="shared" si="2"/>
        <v>_M2 =</v>
      </c>
      <c r="M17" s="424">
        <f t="shared" si="8"/>
        <v>257.5</v>
      </c>
      <c r="N17" s="345"/>
      <c r="O17" s="346">
        <v>6</v>
      </c>
      <c r="P17" s="425" t="str">
        <f t="shared" si="3"/>
        <v>_I1 =</v>
      </c>
      <c r="Q17" s="426">
        <v>3</v>
      </c>
      <c r="R17" s="427">
        <v>-8</v>
      </c>
      <c r="S17" s="428" t="str">
        <f t="shared" si="4"/>
        <v>_02 =</v>
      </c>
      <c r="T17" s="426">
        <v>3</v>
      </c>
      <c r="U17" s="429">
        <v>-2</v>
      </c>
      <c r="V17" s="428" t="str">
        <f t="shared" si="5"/>
        <v>_M2 =</v>
      </c>
      <c r="W17" s="426">
        <v>3</v>
      </c>
      <c r="X17" s="430">
        <v>8</v>
      </c>
      <c r="Y17" s="345"/>
      <c r="Z17" s="434">
        <v>276.5</v>
      </c>
      <c r="AA17" s="354" t="s">
        <v>213</v>
      </c>
      <c r="AB17" s="355"/>
      <c r="AC17" s="345">
        <v>3</v>
      </c>
    </row>
    <row r="18" spans="1:29" ht="13.5" thickBot="1">
      <c r="A18" s="356">
        <f>'Tape lengths'!D19</f>
        <v>6</v>
      </c>
      <c r="B18" s="357" t="str">
        <f>'Tape lengths'!F19</f>
        <v>_M1/___/___</v>
      </c>
      <c r="C18" s="357" t="s">
        <v>223</v>
      </c>
      <c r="D18" s="357">
        <v>25</v>
      </c>
      <c r="E18" s="357">
        <v>106.5</v>
      </c>
      <c r="F18" s="358">
        <v>2</v>
      </c>
      <c r="G18" s="359"/>
      <c r="H18" s="435" t="str">
        <f t="shared" si="0"/>
        <v>_M1 =</v>
      </c>
      <c r="I18" s="436">
        <f t="shared" si="6"/>
        <v>301.5</v>
      </c>
      <c r="J18" s="410" t="str">
        <f t="shared" si="1"/>
        <v>None</v>
      </c>
      <c r="K18" s="411" t="str">
        <f t="shared" si="7"/>
        <v>None</v>
      </c>
      <c r="L18" s="435" t="str">
        <f t="shared" si="2"/>
        <v>None</v>
      </c>
      <c r="M18" s="437" t="str">
        <f t="shared" si="8"/>
        <v>None</v>
      </c>
      <c r="N18" s="345"/>
      <c r="O18" s="363">
        <v>6</v>
      </c>
      <c r="P18" s="438" t="str">
        <f t="shared" si="3"/>
        <v>_M1 =</v>
      </c>
      <c r="Q18" s="439">
        <v>4</v>
      </c>
      <c r="R18" s="440">
        <v>-3</v>
      </c>
      <c r="S18" s="412">
        <f t="shared" si="4"/>
      </c>
      <c r="T18" s="413"/>
      <c r="U18" s="414"/>
      <c r="V18" s="441">
        <f t="shared" si="5"/>
      </c>
      <c r="W18" s="439"/>
      <c r="X18" s="442"/>
      <c r="Y18" s="345"/>
      <c r="Z18" s="385">
        <v>277</v>
      </c>
      <c r="AA18" s="354">
        <v>12</v>
      </c>
      <c r="AB18" s="355">
        <v>6</v>
      </c>
      <c r="AC18" s="345">
        <v>2</v>
      </c>
    </row>
    <row r="19" spans="1:29" ht="12.75">
      <c r="A19" s="371">
        <f>'Tape lengths'!D20</f>
        <v>7</v>
      </c>
      <c r="B19" s="372" t="str">
        <f>'Tape lengths'!F20</f>
        <v>_O1/___/_O3</v>
      </c>
      <c r="C19" s="372" t="s">
        <v>224</v>
      </c>
      <c r="D19" s="372">
        <v>25</v>
      </c>
      <c r="E19" s="372">
        <v>18.5</v>
      </c>
      <c r="F19" s="373">
        <v>2</v>
      </c>
      <c r="G19" s="374"/>
      <c r="H19" s="443" t="str">
        <f t="shared" si="0"/>
        <v>_O1 =</v>
      </c>
      <c r="I19" s="444">
        <f t="shared" si="6"/>
        <v>223.5</v>
      </c>
      <c r="J19" s="443" t="str">
        <f t="shared" si="1"/>
        <v>None</v>
      </c>
      <c r="K19" s="444" t="str">
        <f t="shared" si="7"/>
        <v>None</v>
      </c>
      <c r="L19" s="443" t="str">
        <f t="shared" si="2"/>
        <v>_O3 =</v>
      </c>
      <c r="M19" s="445">
        <f t="shared" si="8"/>
        <v>223.5</v>
      </c>
      <c r="N19" s="345"/>
      <c r="O19" s="346">
        <v>7</v>
      </c>
      <c r="P19" s="446" t="str">
        <f t="shared" si="3"/>
        <v>_O1 =</v>
      </c>
      <c r="Q19" s="447">
        <v>4</v>
      </c>
      <c r="R19" s="448">
        <v>-4</v>
      </c>
      <c r="S19" s="449">
        <f t="shared" si="4"/>
      </c>
      <c r="T19" s="447"/>
      <c r="U19" s="450"/>
      <c r="V19" s="449" t="str">
        <f t="shared" si="5"/>
        <v>_O3 =</v>
      </c>
      <c r="W19" s="447">
        <v>4</v>
      </c>
      <c r="X19" s="451">
        <v>4</v>
      </c>
      <c r="Y19" s="345"/>
      <c r="Z19" s="370">
        <v>283.5</v>
      </c>
      <c r="AA19" s="354" t="s">
        <v>213</v>
      </c>
      <c r="AB19" s="355"/>
      <c r="AC19" s="345">
        <v>1</v>
      </c>
    </row>
    <row r="20" spans="1:29" ht="13.5" thickBot="1">
      <c r="A20" s="356">
        <f>'Tape lengths'!D21</f>
        <v>7</v>
      </c>
      <c r="B20" s="357" t="str">
        <f>'Tape lengths'!F21</f>
        <v>_M1/_O2/_M2</v>
      </c>
      <c r="C20" s="357" t="str">
        <f>C19</f>
        <v>178/178/178</v>
      </c>
      <c r="D20" s="357">
        <v>25</v>
      </c>
      <c r="E20" s="357">
        <v>62.5</v>
      </c>
      <c r="F20" s="358">
        <v>2</v>
      </c>
      <c r="G20" s="359"/>
      <c r="H20" s="435" t="str">
        <f t="shared" si="0"/>
        <v>_M1 =</v>
      </c>
      <c r="I20" s="436">
        <f t="shared" si="6"/>
        <v>267.5</v>
      </c>
      <c r="J20" s="435" t="str">
        <f t="shared" si="1"/>
        <v>_O2 =</v>
      </c>
      <c r="K20" s="436">
        <f t="shared" si="7"/>
        <v>267.5</v>
      </c>
      <c r="L20" s="435" t="str">
        <f t="shared" si="2"/>
        <v>_M2 =</v>
      </c>
      <c r="M20" s="437">
        <f t="shared" si="8"/>
        <v>267.5</v>
      </c>
      <c r="N20" s="345"/>
      <c r="O20" s="363">
        <v>7</v>
      </c>
      <c r="P20" s="438" t="str">
        <f t="shared" si="3"/>
        <v>_M1 =</v>
      </c>
      <c r="Q20" s="439">
        <v>4</v>
      </c>
      <c r="R20" s="440">
        <v>-5</v>
      </c>
      <c r="S20" s="441" t="str">
        <f t="shared" si="4"/>
        <v>_O2 =</v>
      </c>
      <c r="T20" s="439">
        <v>4</v>
      </c>
      <c r="U20" s="452">
        <v>0</v>
      </c>
      <c r="V20" s="441" t="str">
        <f t="shared" si="5"/>
        <v>_M2 =</v>
      </c>
      <c r="W20" s="439">
        <v>4</v>
      </c>
      <c r="X20" s="442">
        <v>5</v>
      </c>
      <c r="Y20" s="345"/>
      <c r="Z20" s="434">
        <v>286.5</v>
      </c>
      <c r="AA20" s="354" t="s">
        <v>213</v>
      </c>
      <c r="AB20" s="355"/>
      <c r="AC20" s="345">
        <v>1</v>
      </c>
    </row>
    <row r="21" spans="1:29" ht="12.75">
      <c r="A21" s="371">
        <f>'Tape lengths'!D22</f>
        <v>8</v>
      </c>
      <c r="B21" s="372" t="str">
        <f>'Tape lengths'!F22</f>
        <v>_O1/___/_O3</v>
      </c>
      <c r="C21" s="372" t="s">
        <v>225</v>
      </c>
      <c r="D21" s="372">
        <v>25</v>
      </c>
      <c r="E21" s="372">
        <v>18.5</v>
      </c>
      <c r="F21" s="373">
        <v>2</v>
      </c>
      <c r="G21" s="374"/>
      <c r="H21" s="453" t="str">
        <f t="shared" si="0"/>
        <v>_O1 =</v>
      </c>
      <c r="I21" s="454">
        <f t="shared" si="6"/>
        <v>232.5</v>
      </c>
      <c r="J21" s="453" t="str">
        <f t="shared" si="1"/>
        <v>None</v>
      </c>
      <c r="K21" s="454" t="str">
        <f t="shared" si="7"/>
        <v>None</v>
      </c>
      <c r="L21" s="453" t="str">
        <f t="shared" si="2"/>
        <v>_O3 =</v>
      </c>
      <c r="M21" s="455">
        <f t="shared" si="8"/>
        <v>232.5</v>
      </c>
      <c r="N21" s="345"/>
      <c r="O21" s="346">
        <v>8</v>
      </c>
      <c r="P21" s="456" t="str">
        <f t="shared" si="3"/>
        <v>_O1 =</v>
      </c>
      <c r="Q21" s="457">
        <v>4</v>
      </c>
      <c r="R21" s="458">
        <v>-6</v>
      </c>
      <c r="S21" s="459">
        <f t="shared" si="4"/>
      </c>
      <c r="T21" s="457"/>
      <c r="U21" s="460"/>
      <c r="V21" s="459" t="str">
        <f t="shared" si="5"/>
        <v>_O3 =</v>
      </c>
      <c r="W21" s="457">
        <v>4</v>
      </c>
      <c r="X21" s="461">
        <v>6</v>
      </c>
      <c r="Y21" s="345"/>
      <c r="Z21" s="385">
        <v>286.5</v>
      </c>
      <c r="AA21" s="354">
        <v>13</v>
      </c>
      <c r="AB21" s="355">
        <v>5</v>
      </c>
      <c r="AC21" s="345">
        <v>3</v>
      </c>
    </row>
    <row r="22" spans="1:29" ht="13.5" thickBot="1">
      <c r="A22" s="462">
        <f>'Tape lengths'!D23</f>
        <v>8</v>
      </c>
      <c r="B22" s="463" t="str">
        <f>'Tape lengths'!F23</f>
        <v>_M1/_O2/_M2</v>
      </c>
      <c r="C22" s="463" t="str">
        <f t="shared" si="9"/>
        <v>187/187/187</v>
      </c>
      <c r="D22" s="463">
        <v>25</v>
      </c>
      <c r="E22" s="357">
        <v>62.5</v>
      </c>
      <c r="F22" s="464">
        <v>2</v>
      </c>
      <c r="G22" s="465"/>
      <c r="H22" s="466" t="str">
        <f t="shared" si="0"/>
        <v>_M1 =</v>
      </c>
      <c r="I22" s="467">
        <f t="shared" si="6"/>
        <v>276.5</v>
      </c>
      <c r="J22" s="466" t="str">
        <f t="shared" si="1"/>
        <v>_O2 =</v>
      </c>
      <c r="K22" s="467">
        <f t="shared" si="7"/>
        <v>276.5</v>
      </c>
      <c r="L22" s="466" t="str">
        <f t="shared" si="2"/>
        <v>_M2 =</v>
      </c>
      <c r="M22" s="468">
        <f t="shared" si="8"/>
        <v>276.5</v>
      </c>
      <c r="N22" s="345"/>
      <c r="O22" s="363">
        <v>8</v>
      </c>
      <c r="P22" s="469" t="str">
        <f t="shared" si="3"/>
        <v>_M1 =</v>
      </c>
      <c r="Q22" s="470">
        <v>4</v>
      </c>
      <c r="R22" s="471">
        <v>-7</v>
      </c>
      <c r="S22" s="472" t="str">
        <f t="shared" si="4"/>
        <v>_O2 =</v>
      </c>
      <c r="T22" s="470">
        <v>4</v>
      </c>
      <c r="U22" s="473">
        <v>-1</v>
      </c>
      <c r="V22" s="472" t="str">
        <f t="shared" si="5"/>
        <v>_M2 =</v>
      </c>
      <c r="W22" s="470">
        <v>4</v>
      </c>
      <c r="X22" s="474">
        <v>7</v>
      </c>
      <c r="Y22" s="345"/>
      <c r="Z22" s="353">
        <v>291.5</v>
      </c>
      <c r="AA22" s="475">
        <v>14</v>
      </c>
      <c r="AB22" s="355">
        <v>0</v>
      </c>
      <c r="AC22" s="345">
        <v>0</v>
      </c>
    </row>
    <row r="23" spans="1:29" ht="12.75">
      <c r="A23" s="371">
        <f>'Tape lengths'!D24</f>
        <v>9</v>
      </c>
      <c r="B23" s="372" t="str">
        <f>'Tape lengths'!F24</f>
        <v>___/O12/___</v>
      </c>
      <c r="C23" s="372" t="s">
        <v>226</v>
      </c>
      <c r="D23" s="372">
        <v>25</v>
      </c>
      <c r="E23" s="372">
        <v>18.5</v>
      </c>
      <c r="F23" s="373">
        <v>2</v>
      </c>
      <c r="G23" s="374"/>
      <c r="H23" s="476" t="str">
        <f t="shared" si="0"/>
        <v>None</v>
      </c>
      <c r="I23" s="477" t="str">
        <f t="shared" si="6"/>
        <v>None</v>
      </c>
      <c r="J23" s="476" t="str">
        <f t="shared" si="1"/>
        <v>O12 =</v>
      </c>
      <c r="K23" s="477">
        <f t="shared" si="7"/>
        <v>242.5</v>
      </c>
      <c r="L23" s="476" t="str">
        <f t="shared" si="2"/>
        <v>None</v>
      </c>
      <c r="M23" s="478" t="str">
        <f t="shared" si="8"/>
        <v>None</v>
      </c>
      <c r="N23" s="345"/>
      <c r="O23" s="346">
        <v>9</v>
      </c>
      <c r="P23" s="479">
        <f t="shared" si="3"/>
      </c>
      <c r="Q23" s="480"/>
      <c r="R23" s="481"/>
      <c r="S23" s="482" t="str">
        <f t="shared" si="4"/>
        <v>O12 =</v>
      </c>
      <c r="T23" s="480">
        <v>4</v>
      </c>
      <c r="U23" s="481">
        <v>1</v>
      </c>
      <c r="V23" s="482">
        <f t="shared" si="5"/>
      </c>
      <c r="W23" s="480"/>
      <c r="X23" s="483"/>
      <c r="Y23" s="345"/>
      <c r="Z23" s="353">
        <v>295.5</v>
      </c>
      <c r="AA23" s="354">
        <v>15</v>
      </c>
      <c r="AB23" s="355">
        <v>1</v>
      </c>
      <c r="AC23" s="345">
        <v>1</v>
      </c>
    </row>
    <row r="24" spans="1:29" ht="13.5" thickBot="1">
      <c r="A24" s="484">
        <f>'Tape lengths'!D25</f>
        <v>9</v>
      </c>
      <c r="B24" s="485" t="str">
        <f>'Tape lengths'!F25</f>
        <v>O13/O11/O10</v>
      </c>
      <c r="C24" s="485" t="str">
        <f t="shared" si="9"/>
        <v>197/197/197</v>
      </c>
      <c r="D24" s="485">
        <v>25</v>
      </c>
      <c r="E24" s="486">
        <v>62.5</v>
      </c>
      <c r="F24" s="486">
        <v>2</v>
      </c>
      <c r="G24" s="487"/>
      <c r="H24" s="488" t="str">
        <f t="shared" si="0"/>
        <v>O13 =</v>
      </c>
      <c r="I24" s="489">
        <f t="shared" si="6"/>
        <v>286.5</v>
      </c>
      <c r="J24" s="488" t="str">
        <f t="shared" si="1"/>
        <v>O11 =</v>
      </c>
      <c r="K24" s="489">
        <f t="shared" si="7"/>
        <v>286.5</v>
      </c>
      <c r="L24" s="488" t="str">
        <f t="shared" si="2"/>
        <v>O10 =</v>
      </c>
      <c r="M24" s="490">
        <f t="shared" si="8"/>
        <v>286.5</v>
      </c>
      <c r="N24" s="345"/>
      <c r="O24" s="491">
        <v>9</v>
      </c>
      <c r="P24" s="492" t="str">
        <f t="shared" si="3"/>
        <v>O13 =</v>
      </c>
      <c r="Q24" s="493">
        <v>4</v>
      </c>
      <c r="R24" s="494">
        <v>-8</v>
      </c>
      <c r="S24" s="495" t="str">
        <f t="shared" si="4"/>
        <v>O11 =</v>
      </c>
      <c r="T24" s="493">
        <v>4</v>
      </c>
      <c r="U24" s="496">
        <v>2</v>
      </c>
      <c r="V24" s="495" t="str">
        <f t="shared" si="5"/>
        <v>O10 =</v>
      </c>
      <c r="W24" s="493">
        <v>4</v>
      </c>
      <c r="X24" s="497">
        <v>8</v>
      </c>
      <c r="Y24" s="345"/>
      <c r="Z24" s="370">
        <v>301.5</v>
      </c>
      <c r="AA24" s="354" t="s">
        <v>213</v>
      </c>
      <c r="AB24" s="355"/>
      <c r="AC24" s="345">
        <v>1</v>
      </c>
    </row>
    <row r="25" spans="1:29" ht="13.5" thickTop="1">
      <c r="A25" s="345"/>
      <c r="B25" s="345"/>
      <c r="C25" s="345"/>
      <c r="D25" s="345"/>
      <c r="E25" s="345"/>
      <c r="F25" s="345" t="s">
        <v>185</v>
      </c>
      <c r="G25" s="345"/>
      <c r="H25" s="498" t="s">
        <v>186</v>
      </c>
      <c r="I25" s="498"/>
      <c r="J25" s="499"/>
      <c r="K25" s="498"/>
      <c r="L25" s="499"/>
      <c r="M25" s="498"/>
      <c r="N25" s="345"/>
      <c r="O25" s="345"/>
      <c r="P25" s="498" t="s">
        <v>190</v>
      </c>
      <c r="Q25" s="345"/>
      <c r="R25" s="345"/>
      <c r="S25" s="500"/>
      <c r="T25" s="345"/>
      <c r="U25" s="345"/>
      <c r="V25" s="500"/>
      <c r="W25" s="345"/>
      <c r="X25" s="345"/>
      <c r="Y25" s="345"/>
      <c r="Z25" s="385">
        <v>305.5</v>
      </c>
      <c r="AA25" s="354">
        <v>16</v>
      </c>
      <c r="AB25" s="355">
        <v>1</v>
      </c>
      <c r="AC25" s="345">
        <v>0</v>
      </c>
    </row>
    <row r="26" spans="1:29" ht="12.75">
      <c r="A26" s="345"/>
      <c r="B26" s="345"/>
      <c r="C26" s="345"/>
      <c r="D26" s="345"/>
      <c r="E26" s="345"/>
      <c r="F26" s="345"/>
      <c r="G26" s="345"/>
      <c r="H26" s="498" t="s">
        <v>187</v>
      </c>
      <c r="I26" s="498"/>
      <c r="J26" s="499"/>
      <c r="K26" s="498"/>
      <c r="L26" s="499"/>
      <c r="M26" s="498"/>
      <c r="N26" s="345"/>
      <c r="O26" s="345"/>
      <c r="P26" s="498" t="s">
        <v>191</v>
      </c>
      <c r="Q26" s="345"/>
      <c r="R26" s="345"/>
      <c r="S26" s="500"/>
      <c r="T26" s="345"/>
      <c r="U26" s="345"/>
      <c r="V26" s="500"/>
      <c r="W26" s="345"/>
      <c r="X26" s="345"/>
      <c r="Y26" s="345"/>
      <c r="Z26" s="353">
        <v>321</v>
      </c>
      <c r="AA26" s="354">
        <v>17</v>
      </c>
      <c r="AB26" s="355">
        <v>3</v>
      </c>
      <c r="AC26" s="345">
        <v>3</v>
      </c>
    </row>
    <row r="27" spans="1:29" ht="13.5" thickBot="1">
      <c r="A27" s="345"/>
      <c r="B27" s="345"/>
      <c r="C27" s="345"/>
      <c r="D27" s="345"/>
      <c r="E27" s="345"/>
      <c r="F27" s="345"/>
      <c r="G27" s="345"/>
      <c r="H27" s="499"/>
      <c r="I27" s="498"/>
      <c r="J27" s="499"/>
      <c r="K27" s="498"/>
      <c r="L27" s="499"/>
      <c r="M27" s="498"/>
      <c r="N27" s="345"/>
      <c r="O27" s="345"/>
      <c r="P27" s="500"/>
      <c r="Q27" s="345"/>
      <c r="R27" s="345"/>
      <c r="S27" s="500"/>
      <c r="T27" s="345"/>
      <c r="U27" s="345"/>
      <c r="V27" s="500"/>
      <c r="W27" s="345"/>
      <c r="X27" s="345"/>
      <c r="Y27" s="345"/>
      <c r="Z27" s="501"/>
      <c r="AA27" s="502" t="s">
        <v>214</v>
      </c>
      <c r="AB27" s="503">
        <f>SUM(AB2:AB26)</f>
        <v>54</v>
      </c>
      <c r="AC27" s="345"/>
    </row>
    <row r="28" spans="1:29" ht="13.5" thickBot="1">
      <c r="A28" s="345"/>
      <c r="B28" s="345"/>
      <c r="C28" s="345"/>
      <c r="D28" s="345"/>
      <c r="E28" s="345"/>
      <c r="F28" s="345"/>
      <c r="G28" s="345"/>
      <c r="H28" s="499"/>
      <c r="I28" s="498"/>
      <c r="J28" s="499"/>
      <c r="K28" s="498"/>
      <c r="L28" s="499"/>
      <c r="M28" s="498"/>
      <c r="N28" s="345"/>
      <c r="O28" s="345"/>
      <c r="P28" s="500"/>
      <c r="Q28" s="345"/>
      <c r="R28" s="345"/>
      <c r="S28" s="500"/>
      <c r="T28" s="345"/>
      <c r="U28" s="345"/>
      <c r="V28" s="500"/>
      <c r="W28" s="345"/>
      <c r="X28" s="345"/>
      <c r="Y28" s="345"/>
      <c r="Z28" s="345"/>
      <c r="AA28" s="345"/>
      <c r="AB28" s="345"/>
      <c r="AC28" s="345"/>
    </row>
    <row r="29" spans="1:29" s="134" customFormat="1" ht="103.5" thickBot="1" thickTop="1">
      <c r="A29" s="324" t="str">
        <f>A1</f>
        <v>Disc</v>
      </c>
      <c r="B29" s="325" t="str">
        <f>B1</f>
        <v>Modules</v>
      </c>
      <c r="C29" s="325" t="str">
        <f>C1</f>
        <v>Length from Clamp to PCB (mm, from CAD)</v>
      </c>
      <c r="D29" s="325" t="str">
        <f aca="true" t="shared" si="10" ref="D29:M29">D1</f>
        <v>Excess for short-connection (mm)</v>
      </c>
      <c r="E29" s="325" t="str">
        <f t="shared" si="10"/>
        <v>Length from edge of PCB to connector (mm)</v>
      </c>
      <c r="F29" s="325" t="str">
        <f t="shared" si="10"/>
        <v>Phi adjustment</v>
      </c>
      <c r="G29" s="325" t="str">
        <f t="shared" si="10"/>
        <v>Adjustment for 2-way PCB position in 3-way tray (D1 only)</v>
      </c>
      <c r="H29" s="325" t="str">
        <f t="shared" si="10"/>
        <v>Module @ LH PCB</v>
      </c>
      <c r="I29" s="325" t="str">
        <f t="shared" si="10"/>
        <v>Length (mm)</v>
      </c>
      <c r="J29" s="325" t="str">
        <f t="shared" si="10"/>
        <v>Module @ Middle PCB</v>
      </c>
      <c r="K29" s="325" t="str">
        <f t="shared" si="10"/>
        <v>Length (mm)</v>
      </c>
      <c r="L29" s="325" t="str">
        <f t="shared" si="10"/>
        <v>Module @ RH PCB</v>
      </c>
      <c r="M29" s="326" t="str">
        <f t="shared" si="10"/>
        <v>Length (mm)</v>
      </c>
      <c r="N29" s="327"/>
      <c r="O29" s="328" t="s">
        <v>61</v>
      </c>
      <c r="P29" s="329" t="str">
        <f>P1</f>
        <v>Module</v>
      </c>
      <c r="Q29" s="330" t="str">
        <f aca="true" t="shared" si="11" ref="Q29:X29">Q1</f>
        <v>Row (1 = low Z, 4 = high Z)</v>
      </c>
      <c r="R29" s="331" t="str">
        <f t="shared" si="11"/>
        <v>Suggested clamp position (for LH PCB =-8 to  -3, all but blue = -7 to -3)</v>
      </c>
      <c r="S29" s="332" t="str">
        <f t="shared" si="11"/>
        <v>Module</v>
      </c>
      <c r="T29" s="330" t="str">
        <f t="shared" si="11"/>
        <v>Row (1 = low Z, 4 = high Z)</v>
      </c>
      <c r="U29" s="333" t="str">
        <f t="shared" si="11"/>
        <v>Suggested clamp position (for middle PCB =-3 through 0 to 3)</v>
      </c>
      <c r="V29" s="332" t="str">
        <f t="shared" si="11"/>
        <v>Module</v>
      </c>
      <c r="W29" s="330" t="str">
        <f t="shared" si="11"/>
        <v>Row (1 = low Z, 4 = high Z)</v>
      </c>
      <c r="X29" s="334" t="str">
        <f t="shared" si="11"/>
        <v>Suggested clamp position (for RH PCB = 3 to 8, all but blue = 3 to 7)</v>
      </c>
      <c r="Y29" s="327"/>
      <c r="Z29" s="335" t="s">
        <v>211</v>
      </c>
      <c r="AA29" s="336" t="s">
        <v>212</v>
      </c>
      <c r="AB29" s="337" t="s">
        <v>199</v>
      </c>
      <c r="AC29" s="327"/>
    </row>
    <row r="30" spans="1:29" ht="13.5" thickTop="1">
      <c r="A30" s="338">
        <f>'Tape lengths'!D31</f>
        <v>1</v>
      </c>
      <c r="B30" s="339" t="str">
        <f>'Tape lengths'!F31</f>
        <v>_O4/_O5/_O6</v>
      </c>
      <c r="C30" s="339" t="str">
        <f>C2</f>
        <v>144/144/144</v>
      </c>
      <c r="D30" s="339">
        <v>25</v>
      </c>
      <c r="E30" s="339">
        <v>62.5</v>
      </c>
      <c r="F30" s="340">
        <v>2</v>
      </c>
      <c r="G30" s="341">
        <v>43.5</v>
      </c>
      <c r="H30" s="342" t="str">
        <f aca="true" t="shared" si="12" ref="H30:H52">IF((MID(B30,1,3))="___","None",(MID(B30,1,3))&amp;" =")</f>
        <v>_O4 =</v>
      </c>
      <c r="I30" s="343">
        <f>IF((MID(B30,1,3))="___","None",(MID(C30,1,3))+D30+E30+F30+G30)</f>
        <v>277</v>
      </c>
      <c r="J30" s="342" t="str">
        <f aca="true" t="shared" si="13" ref="J30:J52">IF((MID(B30,5,3))="___","None",(MID(B30,5,3))&amp;" =")</f>
        <v>_O5 =</v>
      </c>
      <c r="K30" s="343">
        <f>IF((MID(B30,5,3))="___","None",(MID(C30,5,3))+D30+E30+F30+G30)</f>
        <v>277</v>
      </c>
      <c r="L30" s="342" t="str">
        <f aca="true" t="shared" si="14" ref="L30:L52">IF((MID(B30,9,3))="___","None",(MID(B30,9,3))&amp;" =")</f>
        <v>_O6 =</v>
      </c>
      <c r="M30" s="344">
        <f>IF((MID(B30,9,3))="___","None",(MID(C30,9,3))+D30+E30+F30+G30)</f>
        <v>277</v>
      </c>
      <c r="N30" s="345"/>
      <c r="O30" s="346">
        <v>1</v>
      </c>
      <c r="P30" s="347" t="str">
        <f aca="true" t="shared" si="15" ref="P30:P52">IF((MID(B30,1,3))="___","",(MID(B30,1,3))&amp;" =")</f>
        <v>_O4 =</v>
      </c>
      <c r="Q30" s="348">
        <v>1</v>
      </c>
      <c r="R30" s="349">
        <v>-3</v>
      </c>
      <c r="S30" s="350" t="str">
        <f aca="true" t="shared" si="16" ref="S30:S52">IF((MID(B30,5,3))="___","",(MID(B30,5,3))&amp;" =")</f>
        <v>_O5 =</v>
      </c>
      <c r="T30" s="348">
        <v>1</v>
      </c>
      <c r="U30" s="351">
        <v>0</v>
      </c>
      <c r="V30" s="350" t="str">
        <f aca="true" t="shared" si="17" ref="V30:V52">IF((MID(B30,9,3))="___","",(MID(B30,9,3))&amp;" =")</f>
        <v>_O6 =</v>
      </c>
      <c r="W30" s="348">
        <v>1</v>
      </c>
      <c r="X30" s="352">
        <v>3</v>
      </c>
      <c r="Y30" s="345"/>
      <c r="Z30" s="353">
        <v>188.5</v>
      </c>
      <c r="AA30" s="354">
        <v>1</v>
      </c>
      <c r="AB30" s="355">
        <v>3</v>
      </c>
      <c r="AC30" s="345">
        <v>3</v>
      </c>
    </row>
    <row r="31" spans="1:29" ht="13.5" thickBot="1">
      <c r="A31" s="356">
        <f>'Tape lengths'!D32</f>
        <v>1</v>
      </c>
      <c r="B31" s="357" t="str">
        <f>'Tape lengths'!F32</f>
        <v>_M3/_M4/_M5</v>
      </c>
      <c r="C31" s="357" t="str">
        <f aca="true" t="shared" si="18" ref="C31:C52">C3</f>
        <v>144/144/144</v>
      </c>
      <c r="D31" s="357">
        <v>25</v>
      </c>
      <c r="E31" s="357">
        <v>106.5</v>
      </c>
      <c r="F31" s="358">
        <v>2</v>
      </c>
      <c r="G31" s="359">
        <v>43.5</v>
      </c>
      <c r="H31" s="360" t="str">
        <f t="shared" si="12"/>
        <v>_M3 =</v>
      </c>
      <c r="I31" s="361">
        <f>IF((MID(B31,1,3))="___","None",(MID(C31,1,3))+D31+E31+F31+G31)</f>
        <v>321</v>
      </c>
      <c r="J31" s="360" t="str">
        <f t="shared" si="13"/>
        <v>_M4 =</v>
      </c>
      <c r="K31" s="361">
        <f>IF((MID(B31,5,3))="___","None",(MID(C31,5,3))+D31+E31+F31+G31)</f>
        <v>321</v>
      </c>
      <c r="L31" s="360" t="str">
        <f t="shared" si="14"/>
        <v>_M5 =</v>
      </c>
      <c r="M31" s="362">
        <f>IF((MID(B31,9,3))="___","None",(MID(C31,9,3))+D31+E31+F31+G31)</f>
        <v>321</v>
      </c>
      <c r="N31" s="345"/>
      <c r="O31" s="363">
        <v>1</v>
      </c>
      <c r="P31" s="364" t="str">
        <f t="shared" si="15"/>
        <v>_M3 =</v>
      </c>
      <c r="Q31" s="365">
        <v>1</v>
      </c>
      <c r="R31" s="366">
        <v>-4</v>
      </c>
      <c r="S31" s="367" t="str">
        <f t="shared" si="16"/>
        <v>_M4 =</v>
      </c>
      <c r="T31" s="365">
        <v>1</v>
      </c>
      <c r="U31" s="368">
        <v>-1</v>
      </c>
      <c r="V31" s="367" t="str">
        <f t="shared" si="17"/>
        <v>_M5 =</v>
      </c>
      <c r="W31" s="365">
        <v>1</v>
      </c>
      <c r="X31" s="369">
        <v>4</v>
      </c>
      <c r="Y31" s="345"/>
      <c r="Z31" s="370">
        <v>195.5</v>
      </c>
      <c r="AA31" s="354" t="s">
        <v>213</v>
      </c>
      <c r="AB31" s="355"/>
      <c r="AC31" s="345">
        <v>3</v>
      </c>
    </row>
    <row r="32" spans="1:29" ht="12.75">
      <c r="A32" s="371">
        <f>'Tape lengths'!D33</f>
        <v>2</v>
      </c>
      <c r="B32" s="372" t="str">
        <f>'Tape lengths'!F33</f>
        <v>_O4/_I4/_I5</v>
      </c>
      <c r="C32" s="372" t="str">
        <f t="shared" si="18"/>
        <v>143/143/143</v>
      </c>
      <c r="D32" s="372">
        <v>25</v>
      </c>
      <c r="E32" s="372">
        <v>18.5</v>
      </c>
      <c r="F32" s="373">
        <v>2</v>
      </c>
      <c r="G32" s="374"/>
      <c r="H32" s="375" t="str">
        <f t="shared" si="12"/>
        <v>_O4 =</v>
      </c>
      <c r="I32" s="376">
        <f aca="true" t="shared" si="19" ref="I32:I52">IF((MID(B32,1,3))="___","None",(MID(C32,1,3))+D32+E32+F32)</f>
        <v>188.5</v>
      </c>
      <c r="J32" s="375" t="str">
        <f t="shared" si="13"/>
        <v>_I4 =</v>
      </c>
      <c r="K32" s="376">
        <f aca="true" t="shared" si="20" ref="K32:K52">IF((MID(B32,5,3))="___","None",(MID(C32,5,3))+D32+E32+F32)</f>
        <v>188.5</v>
      </c>
      <c r="L32" s="375" t="str">
        <f t="shared" si="14"/>
        <v>_I5 =</v>
      </c>
      <c r="M32" s="377">
        <f aca="true" t="shared" si="21" ref="M32:M52">IF((MID(B32,9,3))="___","None",(MID(C32,9,3))+D32+E32+F32)</f>
        <v>188.5</v>
      </c>
      <c r="N32" s="345"/>
      <c r="O32" s="378">
        <v>2</v>
      </c>
      <c r="P32" s="379" t="str">
        <f t="shared" si="15"/>
        <v>_O4 =</v>
      </c>
      <c r="Q32" s="380">
        <v>1</v>
      </c>
      <c r="R32" s="381">
        <v>-5</v>
      </c>
      <c r="S32" s="382" t="str">
        <f t="shared" si="16"/>
        <v>_I4 =</v>
      </c>
      <c r="T32" s="380">
        <v>1</v>
      </c>
      <c r="U32" s="383">
        <v>1</v>
      </c>
      <c r="V32" s="382" t="str">
        <f t="shared" si="17"/>
        <v>_I5 =</v>
      </c>
      <c r="W32" s="380">
        <v>1</v>
      </c>
      <c r="X32" s="384">
        <v>5</v>
      </c>
      <c r="Y32" s="345"/>
      <c r="Z32" s="385">
        <v>198.5</v>
      </c>
      <c r="AA32" s="354">
        <v>2</v>
      </c>
      <c r="AB32" s="355">
        <v>6</v>
      </c>
      <c r="AC32" s="345">
        <v>3</v>
      </c>
    </row>
    <row r="33" spans="1:29" ht="12.75">
      <c r="A33" s="356">
        <f>'Tape lengths'!D34</f>
        <v>2</v>
      </c>
      <c r="B33" s="357" t="str">
        <f>'Tape lengths'!F34</f>
        <v>_M3/_M4/_M5</v>
      </c>
      <c r="C33" s="357" t="str">
        <f t="shared" si="18"/>
        <v>143/143/143</v>
      </c>
      <c r="D33" s="357">
        <v>25</v>
      </c>
      <c r="E33" s="357">
        <v>62.5</v>
      </c>
      <c r="F33" s="358">
        <v>2</v>
      </c>
      <c r="G33" s="359"/>
      <c r="H33" s="360" t="str">
        <f t="shared" si="12"/>
        <v>_M3 =</v>
      </c>
      <c r="I33" s="361">
        <f t="shared" si="19"/>
        <v>232.5</v>
      </c>
      <c r="J33" s="360" t="str">
        <f t="shared" si="13"/>
        <v>_M4 =</v>
      </c>
      <c r="K33" s="361">
        <f t="shared" si="20"/>
        <v>232.5</v>
      </c>
      <c r="L33" s="360" t="str">
        <f t="shared" si="14"/>
        <v>_M5 =</v>
      </c>
      <c r="M33" s="362">
        <f t="shared" si="21"/>
        <v>232.5</v>
      </c>
      <c r="N33" s="345"/>
      <c r="O33" s="346">
        <v>2</v>
      </c>
      <c r="P33" s="347" t="str">
        <f t="shared" si="15"/>
        <v>_M3 =</v>
      </c>
      <c r="Q33" s="348">
        <v>1</v>
      </c>
      <c r="R33" s="349">
        <v>-6</v>
      </c>
      <c r="S33" s="350" t="str">
        <f t="shared" si="16"/>
        <v>_M4 =</v>
      </c>
      <c r="T33" s="348">
        <v>1</v>
      </c>
      <c r="U33" s="351">
        <v>-2</v>
      </c>
      <c r="V33" s="350" t="str">
        <f t="shared" si="17"/>
        <v>_M5 =</v>
      </c>
      <c r="W33" s="348">
        <v>1</v>
      </c>
      <c r="X33" s="352">
        <v>6</v>
      </c>
      <c r="Y33" s="345"/>
      <c r="Z33" s="353">
        <v>207.5</v>
      </c>
      <c r="AA33" s="354">
        <v>3</v>
      </c>
      <c r="AB33" s="355">
        <v>3</v>
      </c>
      <c r="AC33" s="345">
        <v>3</v>
      </c>
    </row>
    <row r="34" spans="1:29" ht="13.5" thickBot="1">
      <c r="A34" s="356">
        <f>'Tape lengths'!D35</f>
        <v>2</v>
      </c>
      <c r="B34" s="357" t="str">
        <f>'Tape lengths'!F35</f>
        <v>_I3/_O5/_O6</v>
      </c>
      <c r="C34" s="357" t="str">
        <f t="shared" si="18"/>
        <v>143/143/143</v>
      </c>
      <c r="D34" s="357">
        <v>25</v>
      </c>
      <c r="E34" s="357">
        <v>106.5</v>
      </c>
      <c r="F34" s="358">
        <v>2</v>
      </c>
      <c r="G34" s="359"/>
      <c r="H34" s="360" t="str">
        <f t="shared" si="12"/>
        <v>_I3 =</v>
      </c>
      <c r="I34" s="361">
        <f t="shared" si="19"/>
        <v>276.5</v>
      </c>
      <c r="J34" s="360" t="str">
        <f t="shared" si="13"/>
        <v>_O5 =</v>
      </c>
      <c r="K34" s="361">
        <f t="shared" si="20"/>
        <v>276.5</v>
      </c>
      <c r="L34" s="360" t="str">
        <f t="shared" si="14"/>
        <v>_O6 =</v>
      </c>
      <c r="M34" s="362">
        <f t="shared" si="21"/>
        <v>276.5</v>
      </c>
      <c r="N34" s="345"/>
      <c r="O34" s="363">
        <v>2</v>
      </c>
      <c r="P34" s="364" t="str">
        <f t="shared" si="15"/>
        <v>_I3 =</v>
      </c>
      <c r="Q34" s="365">
        <v>1</v>
      </c>
      <c r="R34" s="366">
        <v>-7</v>
      </c>
      <c r="S34" s="367" t="str">
        <f t="shared" si="16"/>
        <v>_O5 =</v>
      </c>
      <c r="T34" s="365">
        <v>1</v>
      </c>
      <c r="U34" s="368">
        <v>2</v>
      </c>
      <c r="V34" s="367" t="str">
        <f t="shared" si="17"/>
        <v>_O6 =</v>
      </c>
      <c r="W34" s="365">
        <v>1</v>
      </c>
      <c r="X34" s="369">
        <v>7</v>
      </c>
      <c r="Y34" s="345"/>
      <c r="Z34" s="353">
        <v>213.5</v>
      </c>
      <c r="AA34" s="354">
        <v>4</v>
      </c>
      <c r="AB34" s="355">
        <v>3</v>
      </c>
      <c r="AC34" s="345">
        <v>3</v>
      </c>
    </row>
    <row r="35" spans="1:29" ht="12.75">
      <c r="A35" s="371">
        <f>'Tape lengths'!D36</f>
        <v>3</v>
      </c>
      <c r="B35" s="372" t="str">
        <f>'Tape lengths'!F36</f>
        <v>_O4/_I4/_I5</v>
      </c>
      <c r="C35" s="372" t="str">
        <f t="shared" si="18"/>
        <v>150/150/150</v>
      </c>
      <c r="D35" s="372">
        <v>25</v>
      </c>
      <c r="E35" s="372">
        <v>18.5</v>
      </c>
      <c r="F35" s="373">
        <v>2</v>
      </c>
      <c r="G35" s="374"/>
      <c r="H35" s="386" t="str">
        <f t="shared" si="12"/>
        <v>_O4 =</v>
      </c>
      <c r="I35" s="387">
        <f t="shared" si="19"/>
        <v>195.5</v>
      </c>
      <c r="J35" s="386" t="str">
        <f t="shared" si="13"/>
        <v>_I4 =</v>
      </c>
      <c r="K35" s="387">
        <f t="shared" si="20"/>
        <v>195.5</v>
      </c>
      <c r="L35" s="386" t="str">
        <f t="shared" si="14"/>
        <v>_I5 =</v>
      </c>
      <c r="M35" s="388">
        <f t="shared" si="21"/>
        <v>195.5</v>
      </c>
      <c r="N35" s="345"/>
      <c r="O35" s="346">
        <v>3</v>
      </c>
      <c r="P35" s="389" t="str">
        <f t="shared" si="15"/>
        <v>_O4 =</v>
      </c>
      <c r="Q35" s="390">
        <v>2</v>
      </c>
      <c r="R35" s="391">
        <v>-3</v>
      </c>
      <c r="S35" s="392" t="str">
        <f t="shared" si="16"/>
        <v>_I4 =</v>
      </c>
      <c r="T35" s="390">
        <v>2</v>
      </c>
      <c r="U35" s="393">
        <v>0</v>
      </c>
      <c r="V35" s="392" t="str">
        <f t="shared" si="17"/>
        <v>_I5 =</v>
      </c>
      <c r="W35" s="390">
        <v>2</v>
      </c>
      <c r="X35" s="394">
        <v>3</v>
      </c>
      <c r="Y35" s="345"/>
      <c r="Z35" s="353">
        <v>223.5</v>
      </c>
      <c r="AA35" s="354">
        <v>5</v>
      </c>
      <c r="AB35" s="355">
        <v>3</v>
      </c>
      <c r="AC35" s="345">
        <v>3</v>
      </c>
    </row>
    <row r="36" spans="1:29" ht="12.75">
      <c r="A36" s="356">
        <f>'Tape lengths'!D37</f>
        <v>3</v>
      </c>
      <c r="B36" s="357" t="str">
        <f>'Tape lengths'!F37</f>
        <v>_M3/_M4/_M5</v>
      </c>
      <c r="C36" s="357" t="str">
        <f t="shared" si="18"/>
        <v>150/150/150</v>
      </c>
      <c r="D36" s="357">
        <v>25</v>
      </c>
      <c r="E36" s="357">
        <v>62.5</v>
      </c>
      <c r="F36" s="358">
        <v>2</v>
      </c>
      <c r="G36" s="359"/>
      <c r="H36" s="395" t="str">
        <f t="shared" si="12"/>
        <v>_M3 =</v>
      </c>
      <c r="I36" s="396">
        <f t="shared" si="19"/>
        <v>239.5</v>
      </c>
      <c r="J36" s="395" t="str">
        <f t="shared" si="13"/>
        <v>_M4 =</v>
      </c>
      <c r="K36" s="396">
        <f t="shared" si="20"/>
        <v>239.5</v>
      </c>
      <c r="L36" s="395" t="str">
        <f t="shared" si="14"/>
        <v>_M5 =</v>
      </c>
      <c r="M36" s="397">
        <f t="shared" si="21"/>
        <v>239.5</v>
      </c>
      <c r="N36" s="345"/>
      <c r="O36" s="346">
        <v>3</v>
      </c>
      <c r="P36" s="398" t="str">
        <f t="shared" si="15"/>
        <v>_M3 =</v>
      </c>
      <c r="Q36" s="399">
        <v>2</v>
      </c>
      <c r="R36" s="400">
        <v>-4</v>
      </c>
      <c r="S36" s="401" t="str">
        <f t="shared" si="16"/>
        <v>_M4 =</v>
      </c>
      <c r="T36" s="399">
        <v>2</v>
      </c>
      <c r="U36" s="402">
        <v>-1</v>
      </c>
      <c r="V36" s="401" t="str">
        <f t="shared" si="17"/>
        <v>_M5 =</v>
      </c>
      <c r="W36" s="399">
        <v>2</v>
      </c>
      <c r="X36" s="403">
        <v>4</v>
      </c>
      <c r="Y36" s="345"/>
      <c r="Z36" s="370">
        <v>232.5</v>
      </c>
      <c r="AA36" s="354" t="s">
        <v>213</v>
      </c>
      <c r="AB36" s="355"/>
      <c r="AC36" s="345">
        <v>3</v>
      </c>
    </row>
    <row r="37" spans="1:29" ht="13.5" thickBot="1">
      <c r="A37" s="356">
        <f>'Tape lengths'!D38</f>
        <v>3</v>
      </c>
      <c r="B37" s="357" t="str">
        <f>'Tape lengths'!F38</f>
        <v>_I3/_O5/_O6</v>
      </c>
      <c r="C37" s="357" t="str">
        <f t="shared" si="18"/>
        <v>150/150/150</v>
      </c>
      <c r="D37" s="357">
        <v>25</v>
      </c>
      <c r="E37" s="357">
        <v>106.5</v>
      </c>
      <c r="F37" s="358">
        <v>2</v>
      </c>
      <c r="G37" s="359"/>
      <c r="H37" s="395" t="str">
        <f t="shared" si="12"/>
        <v>_I3 =</v>
      </c>
      <c r="I37" s="396">
        <f t="shared" si="19"/>
        <v>283.5</v>
      </c>
      <c r="J37" s="395" t="str">
        <f t="shared" si="13"/>
        <v>_O5 =</v>
      </c>
      <c r="K37" s="396">
        <f t="shared" si="20"/>
        <v>283.5</v>
      </c>
      <c r="L37" s="395" t="str">
        <f t="shared" si="14"/>
        <v>_O6 =</v>
      </c>
      <c r="M37" s="397">
        <f t="shared" si="21"/>
        <v>283.5</v>
      </c>
      <c r="N37" s="345"/>
      <c r="O37" s="363">
        <v>3</v>
      </c>
      <c r="P37" s="404" t="str">
        <f t="shared" si="15"/>
        <v>_I3 =</v>
      </c>
      <c r="Q37" s="405">
        <v>2</v>
      </c>
      <c r="R37" s="406">
        <v>-5</v>
      </c>
      <c r="S37" s="407" t="str">
        <f t="shared" si="16"/>
        <v>_O5 =</v>
      </c>
      <c r="T37" s="405">
        <v>2</v>
      </c>
      <c r="U37" s="408">
        <v>1</v>
      </c>
      <c r="V37" s="407" t="str">
        <f t="shared" si="17"/>
        <v>_O6 =</v>
      </c>
      <c r="W37" s="405">
        <v>2</v>
      </c>
      <c r="X37" s="409">
        <v>5</v>
      </c>
      <c r="Y37" s="345"/>
      <c r="Z37" s="385">
        <v>232.5</v>
      </c>
      <c r="AA37" s="354">
        <v>6</v>
      </c>
      <c r="AB37" s="355">
        <v>6</v>
      </c>
      <c r="AC37" s="345">
        <v>3</v>
      </c>
    </row>
    <row r="38" spans="1:29" ht="12.75">
      <c r="A38" s="371">
        <f>'Tape lengths'!D39</f>
        <v>4</v>
      </c>
      <c r="B38" s="372" t="str">
        <f>'Tape lengths'!F39</f>
        <v>_O4/_I4/_I5</v>
      </c>
      <c r="C38" s="372" t="str">
        <f t="shared" si="18"/>
        <v>153/153/153</v>
      </c>
      <c r="D38" s="372">
        <v>25</v>
      </c>
      <c r="E38" s="372">
        <v>18.5</v>
      </c>
      <c r="F38" s="373">
        <v>2</v>
      </c>
      <c r="G38" s="374"/>
      <c r="H38" s="386" t="str">
        <f t="shared" si="12"/>
        <v>_O4 =</v>
      </c>
      <c r="I38" s="387">
        <f t="shared" si="19"/>
        <v>198.5</v>
      </c>
      <c r="J38" s="386" t="str">
        <f t="shared" si="13"/>
        <v>_I4 =</v>
      </c>
      <c r="K38" s="387">
        <f t="shared" si="20"/>
        <v>198.5</v>
      </c>
      <c r="L38" s="386" t="str">
        <f t="shared" si="14"/>
        <v>_I5 =</v>
      </c>
      <c r="M38" s="388">
        <f t="shared" si="21"/>
        <v>198.5</v>
      </c>
      <c r="N38" s="345"/>
      <c r="O38" s="346">
        <v>4</v>
      </c>
      <c r="P38" s="389" t="str">
        <f t="shared" si="15"/>
        <v>_O4 =</v>
      </c>
      <c r="Q38" s="390">
        <v>2</v>
      </c>
      <c r="R38" s="391">
        <v>-6</v>
      </c>
      <c r="S38" s="392" t="str">
        <f t="shared" si="16"/>
        <v>_I4 =</v>
      </c>
      <c r="T38" s="390">
        <v>2</v>
      </c>
      <c r="U38" s="393">
        <v>-2</v>
      </c>
      <c r="V38" s="392" t="str">
        <f t="shared" si="17"/>
        <v>_I5 =</v>
      </c>
      <c r="W38" s="390">
        <v>2</v>
      </c>
      <c r="X38" s="394">
        <v>6</v>
      </c>
      <c r="Y38" s="345"/>
      <c r="Z38" s="353">
        <v>239.5</v>
      </c>
      <c r="AA38" s="354">
        <v>7</v>
      </c>
      <c r="AB38" s="355">
        <v>3</v>
      </c>
      <c r="AC38" s="345">
        <v>3</v>
      </c>
    </row>
    <row r="39" spans="1:29" ht="12.75">
      <c r="A39" s="356">
        <f>'Tape lengths'!D40</f>
        <v>4</v>
      </c>
      <c r="B39" s="357" t="str">
        <f>'Tape lengths'!F40</f>
        <v>_M3/_M4/_M5</v>
      </c>
      <c r="C39" s="357" t="str">
        <f t="shared" si="18"/>
        <v>153/153/153</v>
      </c>
      <c r="D39" s="357">
        <v>25</v>
      </c>
      <c r="E39" s="357">
        <v>62.5</v>
      </c>
      <c r="F39" s="358">
        <v>2</v>
      </c>
      <c r="G39" s="359"/>
      <c r="H39" s="395" t="str">
        <f t="shared" si="12"/>
        <v>_M3 =</v>
      </c>
      <c r="I39" s="396">
        <f t="shared" si="19"/>
        <v>242.5</v>
      </c>
      <c r="J39" s="395" t="str">
        <f t="shared" si="13"/>
        <v>_M4 =</v>
      </c>
      <c r="K39" s="396">
        <f t="shared" si="20"/>
        <v>242.5</v>
      </c>
      <c r="L39" s="395" t="str">
        <f t="shared" si="14"/>
        <v>_M5 =</v>
      </c>
      <c r="M39" s="397">
        <f t="shared" si="21"/>
        <v>242.5</v>
      </c>
      <c r="N39" s="345"/>
      <c r="O39" s="346">
        <v>4</v>
      </c>
      <c r="P39" s="398" t="str">
        <f t="shared" si="15"/>
        <v>_M3 =</v>
      </c>
      <c r="Q39" s="399">
        <v>2</v>
      </c>
      <c r="R39" s="400">
        <v>-7</v>
      </c>
      <c r="S39" s="401" t="str">
        <f t="shared" si="16"/>
        <v>_M4 =</v>
      </c>
      <c r="T39" s="399">
        <v>2</v>
      </c>
      <c r="U39" s="402">
        <v>2</v>
      </c>
      <c r="V39" s="401" t="str">
        <f t="shared" si="17"/>
        <v>_M5 =</v>
      </c>
      <c r="W39" s="399">
        <v>2</v>
      </c>
      <c r="X39" s="403">
        <v>7</v>
      </c>
      <c r="Y39" s="345"/>
      <c r="Z39" s="370">
        <v>242.5</v>
      </c>
      <c r="AA39" s="354" t="s">
        <v>213</v>
      </c>
      <c r="AB39" s="355"/>
      <c r="AC39" s="345">
        <v>3</v>
      </c>
    </row>
    <row r="40" spans="1:29" ht="13.5" thickBot="1">
      <c r="A40" s="356">
        <f>'Tape lengths'!D41</f>
        <v>4</v>
      </c>
      <c r="B40" s="357" t="str">
        <f>'Tape lengths'!F41</f>
        <v>_I3/_O5/_O6</v>
      </c>
      <c r="C40" s="357" t="str">
        <f t="shared" si="18"/>
        <v>153/158/153</v>
      </c>
      <c r="D40" s="357">
        <v>25</v>
      </c>
      <c r="E40" s="357">
        <v>106.5</v>
      </c>
      <c r="F40" s="358">
        <v>2</v>
      </c>
      <c r="G40" s="359"/>
      <c r="H40" s="395" t="str">
        <f t="shared" si="12"/>
        <v>_I3 =</v>
      </c>
      <c r="I40" s="396">
        <f t="shared" si="19"/>
        <v>286.5</v>
      </c>
      <c r="J40" s="410" t="str">
        <f t="shared" si="13"/>
        <v>_O5 =</v>
      </c>
      <c r="K40" s="411">
        <f t="shared" si="20"/>
        <v>291.5</v>
      </c>
      <c r="L40" s="395" t="str">
        <f t="shared" si="14"/>
        <v>_O6 =</v>
      </c>
      <c r="M40" s="397">
        <f t="shared" si="21"/>
        <v>286.5</v>
      </c>
      <c r="N40" s="345"/>
      <c r="O40" s="363">
        <v>4</v>
      </c>
      <c r="P40" s="404" t="str">
        <f t="shared" si="15"/>
        <v>_I3 =</v>
      </c>
      <c r="Q40" s="405">
        <v>2</v>
      </c>
      <c r="R40" s="406">
        <v>-8</v>
      </c>
      <c r="S40" s="412" t="str">
        <f t="shared" si="16"/>
        <v>_O5 =</v>
      </c>
      <c r="T40" s="413">
        <v>3</v>
      </c>
      <c r="U40" s="414">
        <v>0</v>
      </c>
      <c r="V40" s="407" t="str">
        <f t="shared" si="17"/>
        <v>_O6 =</v>
      </c>
      <c r="W40" s="405">
        <v>2</v>
      </c>
      <c r="X40" s="409">
        <v>8</v>
      </c>
      <c r="Y40" s="345"/>
      <c r="Z40" s="385">
        <v>242.5</v>
      </c>
      <c r="AA40" s="354">
        <v>8</v>
      </c>
      <c r="AB40" s="355">
        <v>4</v>
      </c>
      <c r="AC40" s="345">
        <v>1</v>
      </c>
    </row>
    <row r="41" spans="1:29" ht="12.75">
      <c r="A41" s="371">
        <f>'Tape lengths'!D42</f>
        <v>5</v>
      </c>
      <c r="B41" s="372" t="str">
        <f>'Tape lengths'!F42</f>
        <v>_O4/_I4/_I5</v>
      </c>
      <c r="C41" s="372" t="str">
        <f t="shared" si="18"/>
        <v>162/162/162</v>
      </c>
      <c r="D41" s="372">
        <v>25</v>
      </c>
      <c r="E41" s="372">
        <v>18.5</v>
      </c>
      <c r="F41" s="373">
        <v>2</v>
      </c>
      <c r="G41" s="374"/>
      <c r="H41" s="415" t="str">
        <f t="shared" si="12"/>
        <v>_O4 =</v>
      </c>
      <c r="I41" s="416">
        <f t="shared" si="19"/>
        <v>207.5</v>
      </c>
      <c r="J41" s="415" t="str">
        <f t="shared" si="13"/>
        <v>_I4 =</v>
      </c>
      <c r="K41" s="416">
        <f t="shared" si="20"/>
        <v>207.5</v>
      </c>
      <c r="L41" s="415" t="str">
        <f t="shared" si="14"/>
        <v>_I5 =</v>
      </c>
      <c r="M41" s="417">
        <f t="shared" si="21"/>
        <v>207.5</v>
      </c>
      <c r="N41" s="345"/>
      <c r="O41" s="346">
        <v>5</v>
      </c>
      <c r="P41" s="418" t="str">
        <f t="shared" si="15"/>
        <v>_O4 =</v>
      </c>
      <c r="Q41" s="419">
        <v>3</v>
      </c>
      <c r="R41" s="420">
        <v>-4</v>
      </c>
      <c r="S41" s="421" t="str">
        <f t="shared" si="16"/>
        <v>_I4 =</v>
      </c>
      <c r="T41" s="419">
        <v>3</v>
      </c>
      <c r="U41" s="422">
        <v>-1</v>
      </c>
      <c r="V41" s="421" t="str">
        <f t="shared" si="17"/>
        <v>_I5 =</v>
      </c>
      <c r="W41" s="419">
        <v>3</v>
      </c>
      <c r="X41" s="423">
        <v>4</v>
      </c>
      <c r="Y41" s="345"/>
      <c r="Z41" s="353">
        <v>251.5</v>
      </c>
      <c r="AA41" s="354">
        <v>9</v>
      </c>
      <c r="AB41" s="355">
        <v>3</v>
      </c>
      <c r="AC41" s="345">
        <v>3</v>
      </c>
    </row>
    <row r="42" spans="1:29" ht="12.75">
      <c r="A42" s="356">
        <f>'Tape lengths'!D43</f>
        <v>5</v>
      </c>
      <c r="B42" s="357" t="str">
        <f>'Tape lengths'!F43</f>
        <v>_M3/_M4/_M5</v>
      </c>
      <c r="C42" s="357" t="str">
        <f t="shared" si="18"/>
        <v>162/162/162</v>
      </c>
      <c r="D42" s="357">
        <v>25</v>
      </c>
      <c r="E42" s="357">
        <v>62.5</v>
      </c>
      <c r="F42" s="358">
        <v>2</v>
      </c>
      <c r="G42" s="359"/>
      <c r="H42" s="410" t="str">
        <f t="shared" si="12"/>
        <v>_M3 =</v>
      </c>
      <c r="I42" s="411">
        <f t="shared" si="19"/>
        <v>251.5</v>
      </c>
      <c r="J42" s="410" t="str">
        <f t="shared" si="13"/>
        <v>_M4 =</v>
      </c>
      <c r="K42" s="411">
        <f t="shared" si="20"/>
        <v>251.5</v>
      </c>
      <c r="L42" s="410" t="str">
        <f t="shared" si="14"/>
        <v>_M5 =</v>
      </c>
      <c r="M42" s="424">
        <f t="shared" si="21"/>
        <v>251.5</v>
      </c>
      <c r="N42" s="345"/>
      <c r="O42" s="346">
        <v>5</v>
      </c>
      <c r="P42" s="425" t="str">
        <f t="shared" si="15"/>
        <v>_M3 =</v>
      </c>
      <c r="Q42" s="426">
        <v>3</v>
      </c>
      <c r="R42" s="427">
        <v>-5</v>
      </c>
      <c r="S42" s="428" t="str">
        <f t="shared" si="16"/>
        <v>_M4 =</v>
      </c>
      <c r="T42" s="426">
        <v>3</v>
      </c>
      <c r="U42" s="429">
        <v>1</v>
      </c>
      <c r="V42" s="428" t="str">
        <f t="shared" si="17"/>
        <v>_M5 =</v>
      </c>
      <c r="W42" s="426">
        <v>3</v>
      </c>
      <c r="X42" s="430">
        <v>5</v>
      </c>
      <c r="Y42" s="345"/>
      <c r="Z42" s="353">
        <v>257.5</v>
      </c>
      <c r="AA42" s="354">
        <v>10</v>
      </c>
      <c r="AB42" s="355">
        <v>3</v>
      </c>
      <c r="AC42" s="345">
        <v>3</v>
      </c>
    </row>
    <row r="43" spans="1:29" ht="13.5" thickBot="1">
      <c r="A43" s="356">
        <f>'Tape lengths'!D44</f>
        <v>5</v>
      </c>
      <c r="B43" s="357" t="str">
        <f>'Tape lengths'!F44</f>
        <v>_I3/_O5/_O6</v>
      </c>
      <c r="C43" s="357" t="str">
        <f t="shared" si="18"/>
        <v>162/162/162</v>
      </c>
      <c r="D43" s="357">
        <v>25</v>
      </c>
      <c r="E43" s="357">
        <v>106.5</v>
      </c>
      <c r="F43" s="358">
        <v>2</v>
      </c>
      <c r="G43" s="359"/>
      <c r="H43" s="410" t="str">
        <f t="shared" si="12"/>
        <v>_I3 =</v>
      </c>
      <c r="I43" s="411">
        <f t="shared" si="19"/>
        <v>295.5</v>
      </c>
      <c r="J43" s="410" t="str">
        <f t="shared" si="13"/>
        <v>_O5 =</v>
      </c>
      <c r="K43" s="411">
        <f t="shared" si="20"/>
        <v>295.5</v>
      </c>
      <c r="L43" s="410" t="str">
        <f t="shared" si="14"/>
        <v>_O6 =</v>
      </c>
      <c r="M43" s="424">
        <f t="shared" si="21"/>
        <v>295.5</v>
      </c>
      <c r="N43" s="345"/>
      <c r="O43" s="363">
        <v>5</v>
      </c>
      <c r="P43" s="431" t="str">
        <f t="shared" si="15"/>
        <v>_I3 =</v>
      </c>
      <c r="Q43" s="413">
        <v>3</v>
      </c>
      <c r="R43" s="432">
        <v>-6</v>
      </c>
      <c r="S43" s="412" t="str">
        <f t="shared" si="16"/>
        <v>_O5 =</v>
      </c>
      <c r="T43" s="413">
        <v>3</v>
      </c>
      <c r="U43" s="414">
        <v>-2</v>
      </c>
      <c r="V43" s="412" t="str">
        <f t="shared" si="17"/>
        <v>_O6 =</v>
      </c>
      <c r="W43" s="413">
        <v>3</v>
      </c>
      <c r="X43" s="433">
        <v>6</v>
      </c>
      <c r="Y43" s="345"/>
      <c r="Z43" s="353">
        <v>267.5</v>
      </c>
      <c r="AA43" s="354">
        <v>11</v>
      </c>
      <c r="AB43" s="355">
        <v>3</v>
      </c>
      <c r="AC43" s="345">
        <v>3</v>
      </c>
    </row>
    <row r="44" spans="1:29" ht="12.75">
      <c r="A44" s="371">
        <f>'Tape lengths'!D45</f>
        <v>6</v>
      </c>
      <c r="B44" s="372" t="str">
        <f>'Tape lengths'!F45</f>
        <v>_O4/_I4/_I5</v>
      </c>
      <c r="C44" s="372" t="str">
        <f t="shared" si="18"/>
        <v>168/168/168</v>
      </c>
      <c r="D44" s="372">
        <v>25</v>
      </c>
      <c r="E44" s="372">
        <v>18.5</v>
      </c>
      <c r="F44" s="373">
        <v>2</v>
      </c>
      <c r="G44" s="374"/>
      <c r="H44" s="415" t="str">
        <f t="shared" si="12"/>
        <v>_O4 =</v>
      </c>
      <c r="I44" s="416">
        <f t="shared" si="19"/>
        <v>213.5</v>
      </c>
      <c r="J44" s="415" t="str">
        <f t="shared" si="13"/>
        <v>_I4 =</v>
      </c>
      <c r="K44" s="416">
        <f t="shared" si="20"/>
        <v>213.5</v>
      </c>
      <c r="L44" s="415" t="str">
        <f t="shared" si="14"/>
        <v>_I5 =</v>
      </c>
      <c r="M44" s="417">
        <f t="shared" si="21"/>
        <v>213.5</v>
      </c>
      <c r="N44" s="345"/>
      <c r="O44" s="346">
        <v>6</v>
      </c>
      <c r="P44" s="418" t="str">
        <f t="shared" si="15"/>
        <v>_O4 =</v>
      </c>
      <c r="Q44" s="419">
        <v>3</v>
      </c>
      <c r="R44" s="420">
        <v>-7</v>
      </c>
      <c r="S44" s="421" t="str">
        <f t="shared" si="16"/>
        <v>_I4 =</v>
      </c>
      <c r="T44" s="419">
        <v>3</v>
      </c>
      <c r="U44" s="422">
        <v>2</v>
      </c>
      <c r="V44" s="421" t="str">
        <f t="shared" si="17"/>
        <v>_I5 =</v>
      </c>
      <c r="W44" s="419">
        <v>3</v>
      </c>
      <c r="X44" s="423">
        <v>7</v>
      </c>
      <c r="Y44" s="345"/>
      <c r="Z44" s="370">
        <v>276.5</v>
      </c>
      <c r="AA44" s="354" t="s">
        <v>213</v>
      </c>
      <c r="AB44" s="355"/>
      <c r="AC44" s="345">
        <v>3</v>
      </c>
    </row>
    <row r="45" spans="1:29" ht="12.75">
      <c r="A45" s="356">
        <f>'Tape lengths'!D46</f>
        <v>6</v>
      </c>
      <c r="B45" s="357" t="str">
        <f>'Tape lengths'!F46</f>
        <v>_M3/_M4/_M5</v>
      </c>
      <c r="C45" s="357" t="str">
        <f t="shared" si="18"/>
        <v>168/168/168</v>
      </c>
      <c r="D45" s="357">
        <v>25</v>
      </c>
      <c r="E45" s="357">
        <v>62.5</v>
      </c>
      <c r="F45" s="358">
        <v>2</v>
      </c>
      <c r="G45" s="359"/>
      <c r="H45" s="410" t="str">
        <f t="shared" si="12"/>
        <v>_M3 =</v>
      </c>
      <c r="I45" s="411">
        <f t="shared" si="19"/>
        <v>257.5</v>
      </c>
      <c r="J45" s="410" t="str">
        <f t="shared" si="13"/>
        <v>_M4 =</v>
      </c>
      <c r="K45" s="411">
        <f t="shared" si="20"/>
        <v>257.5</v>
      </c>
      <c r="L45" s="410" t="str">
        <f t="shared" si="14"/>
        <v>_M5 =</v>
      </c>
      <c r="M45" s="424">
        <f t="shared" si="21"/>
        <v>257.5</v>
      </c>
      <c r="N45" s="345"/>
      <c r="O45" s="346">
        <v>6</v>
      </c>
      <c r="P45" s="425" t="str">
        <f t="shared" si="15"/>
        <v>_M3 =</v>
      </c>
      <c r="Q45" s="426">
        <v>3</v>
      </c>
      <c r="R45" s="427">
        <v>-8</v>
      </c>
      <c r="S45" s="428" t="str">
        <f t="shared" si="16"/>
        <v>_M4 =</v>
      </c>
      <c r="T45" s="426">
        <v>3</v>
      </c>
      <c r="U45" s="429">
        <v>-3</v>
      </c>
      <c r="V45" s="428" t="str">
        <f t="shared" si="17"/>
        <v>_M5 =</v>
      </c>
      <c r="W45" s="426">
        <v>3</v>
      </c>
      <c r="X45" s="430">
        <v>8</v>
      </c>
      <c r="Y45" s="345"/>
      <c r="Z45" s="434">
        <v>276.5</v>
      </c>
      <c r="AA45" s="354" t="s">
        <v>213</v>
      </c>
      <c r="AB45" s="355"/>
      <c r="AC45" s="345">
        <v>3</v>
      </c>
    </row>
    <row r="46" spans="1:29" ht="13.5" thickBot="1">
      <c r="A46" s="356">
        <f>'Tape lengths'!D47</f>
        <v>6</v>
      </c>
      <c r="B46" s="357" t="str">
        <f>'Tape lengths'!F47</f>
        <v>_I3/_O5/_O6</v>
      </c>
      <c r="C46" s="357" t="str">
        <f t="shared" si="18"/>
        <v>168/172/168</v>
      </c>
      <c r="D46" s="357">
        <v>25</v>
      </c>
      <c r="E46" s="357">
        <v>106.5</v>
      </c>
      <c r="F46" s="358">
        <v>2</v>
      </c>
      <c r="G46" s="359"/>
      <c r="H46" s="435" t="str">
        <f t="shared" si="12"/>
        <v>_I3 =</v>
      </c>
      <c r="I46" s="436">
        <f t="shared" si="19"/>
        <v>301.5</v>
      </c>
      <c r="J46" s="410" t="str">
        <f t="shared" si="13"/>
        <v>_O5 =</v>
      </c>
      <c r="K46" s="411">
        <f t="shared" si="20"/>
        <v>305.5</v>
      </c>
      <c r="L46" s="435" t="str">
        <f t="shared" si="14"/>
        <v>_O6 =</v>
      </c>
      <c r="M46" s="437">
        <f t="shared" si="21"/>
        <v>301.5</v>
      </c>
      <c r="N46" s="345"/>
      <c r="O46" s="363">
        <v>6</v>
      </c>
      <c r="P46" s="438" t="str">
        <f t="shared" si="15"/>
        <v>_I3 =</v>
      </c>
      <c r="Q46" s="439">
        <v>4</v>
      </c>
      <c r="R46" s="440">
        <v>-3</v>
      </c>
      <c r="S46" s="412" t="str">
        <f t="shared" si="16"/>
        <v>_O5 =</v>
      </c>
      <c r="T46" s="413">
        <v>3</v>
      </c>
      <c r="U46" s="414">
        <v>3</v>
      </c>
      <c r="V46" s="441" t="str">
        <f t="shared" si="17"/>
        <v>_O6 =</v>
      </c>
      <c r="W46" s="439">
        <v>4</v>
      </c>
      <c r="X46" s="442">
        <v>4</v>
      </c>
      <c r="Y46" s="345"/>
      <c r="Z46" s="385">
        <v>277</v>
      </c>
      <c r="AA46" s="354">
        <v>12</v>
      </c>
      <c r="AB46" s="355">
        <v>9</v>
      </c>
      <c r="AC46" s="345">
        <v>3</v>
      </c>
    </row>
    <row r="47" spans="1:29" ht="12.75">
      <c r="A47" s="371">
        <f>'Tape lengths'!D48</f>
        <v>7</v>
      </c>
      <c r="B47" s="372" t="str">
        <f>'Tape lengths'!F48</f>
        <v>_O4/_O5/_O6</v>
      </c>
      <c r="C47" s="372" t="str">
        <f t="shared" si="18"/>
        <v>178/178/178</v>
      </c>
      <c r="D47" s="372">
        <v>25</v>
      </c>
      <c r="E47" s="372">
        <v>18.5</v>
      </c>
      <c r="F47" s="373">
        <v>2</v>
      </c>
      <c r="G47" s="374"/>
      <c r="H47" s="443" t="str">
        <f t="shared" si="12"/>
        <v>_O4 =</v>
      </c>
      <c r="I47" s="444">
        <f t="shared" si="19"/>
        <v>223.5</v>
      </c>
      <c r="J47" s="443" t="str">
        <f t="shared" si="13"/>
        <v>_O5 =</v>
      </c>
      <c r="K47" s="444">
        <f t="shared" si="20"/>
        <v>223.5</v>
      </c>
      <c r="L47" s="443" t="str">
        <f t="shared" si="14"/>
        <v>_O6 =</v>
      </c>
      <c r="M47" s="445">
        <f t="shared" si="21"/>
        <v>223.5</v>
      </c>
      <c r="N47" s="345"/>
      <c r="O47" s="346">
        <v>7</v>
      </c>
      <c r="P47" s="446" t="str">
        <f t="shared" si="15"/>
        <v>_O4 =</v>
      </c>
      <c r="Q47" s="447">
        <v>4</v>
      </c>
      <c r="R47" s="448">
        <v>-4</v>
      </c>
      <c r="S47" s="449" t="str">
        <f t="shared" si="16"/>
        <v>_O5 =</v>
      </c>
      <c r="T47" s="447">
        <v>4</v>
      </c>
      <c r="U47" s="450">
        <v>0</v>
      </c>
      <c r="V47" s="449" t="str">
        <f t="shared" si="17"/>
        <v>_O6 =</v>
      </c>
      <c r="W47" s="447">
        <v>4</v>
      </c>
      <c r="X47" s="451">
        <v>5</v>
      </c>
      <c r="Y47" s="345"/>
      <c r="Z47" s="370">
        <v>283.5</v>
      </c>
      <c r="AA47" s="354" t="s">
        <v>213</v>
      </c>
      <c r="AB47" s="355"/>
      <c r="AC47" s="345">
        <v>3</v>
      </c>
    </row>
    <row r="48" spans="1:29" ht="13.5" thickBot="1">
      <c r="A48" s="356">
        <f>'Tape lengths'!D49</f>
        <v>7</v>
      </c>
      <c r="B48" s="357" t="str">
        <f>'Tape lengths'!F49</f>
        <v>_M3/_M4/_M5</v>
      </c>
      <c r="C48" s="357" t="str">
        <f t="shared" si="18"/>
        <v>178/178/178</v>
      </c>
      <c r="D48" s="357">
        <v>25</v>
      </c>
      <c r="E48" s="357">
        <v>62.5</v>
      </c>
      <c r="F48" s="358">
        <v>2</v>
      </c>
      <c r="G48" s="359"/>
      <c r="H48" s="435" t="str">
        <f t="shared" si="12"/>
        <v>_M3 =</v>
      </c>
      <c r="I48" s="436">
        <f t="shared" si="19"/>
        <v>267.5</v>
      </c>
      <c r="J48" s="435" t="str">
        <f t="shared" si="13"/>
        <v>_M4 =</v>
      </c>
      <c r="K48" s="436">
        <f t="shared" si="20"/>
        <v>267.5</v>
      </c>
      <c r="L48" s="435" t="str">
        <f t="shared" si="14"/>
        <v>_M5 =</v>
      </c>
      <c r="M48" s="437">
        <f t="shared" si="21"/>
        <v>267.5</v>
      </c>
      <c r="N48" s="345"/>
      <c r="O48" s="363">
        <v>7</v>
      </c>
      <c r="P48" s="438" t="str">
        <f t="shared" si="15"/>
        <v>_M3 =</v>
      </c>
      <c r="Q48" s="439">
        <v>4</v>
      </c>
      <c r="R48" s="440">
        <v>-5</v>
      </c>
      <c r="S48" s="441" t="str">
        <f t="shared" si="16"/>
        <v>_M4 =</v>
      </c>
      <c r="T48" s="439">
        <v>4</v>
      </c>
      <c r="U48" s="452">
        <v>-1</v>
      </c>
      <c r="V48" s="441" t="str">
        <f t="shared" si="17"/>
        <v>_M5 =</v>
      </c>
      <c r="W48" s="439">
        <v>4</v>
      </c>
      <c r="X48" s="442">
        <v>6</v>
      </c>
      <c r="Y48" s="345"/>
      <c r="Z48" s="434">
        <v>286.5</v>
      </c>
      <c r="AA48" s="354" t="s">
        <v>213</v>
      </c>
      <c r="AB48" s="355"/>
      <c r="AC48" s="345">
        <v>2</v>
      </c>
    </row>
    <row r="49" spans="1:29" ht="12.75">
      <c r="A49" s="371">
        <f>'Tape lengths'!D50</f>
        <v>8</v>
      </c>
      <c r="B49" s="372" t="str">
        <f>'Tape lengths'!F50</f>
        <v>_O4/_O5/_O6</v>
      </c>
      <c r="C49" s="372" t="str">
        <f t="shared" si="18"/>
        <v>187/187/187</v>
      </c>
      <c r="D49" s="372">
        <v>25</v>
      </c>
      <c r="E49" s="372">
        <v>18.5</v>
      </c>
      <c r="F49" s="373">
        <v>2</v>
      </c>
      <c r="G49" s="374"/>
      <c r="H49" s="453" t="str">
        <f t="shared" si="12"/>
        <v>_O4 =</v>
      </c>
      <c r="I49" s="454">
        <f t="shared" si="19"/>
        <v>232.5</v>
      </c>
      <c r="J49" s="453" t="str">
        <f t="shared" si="13"/>
        <v>_O5 =</v>
      </c>
      <c r="K49" s="454">
        <f t="shared" si="20"/>
        <v>232.5</v>
      </c>
      <c r="L49" s="453" t="str">
        <f t="shared" si="14"/>
        <v>_O6 =</v>
      </c>
      <c r="M49" s="455">
        <f t="shared" si="21"/>
        <v>232.5</v>
      </c>
      <c r="N49" s="345"/>
      <c r="O49" s="346">
        <v>8</v>
      </c>
      <c r="P49" s="456" t="str">
        <f t="shared" si="15"/>
        <v>_O4 =</v>
      </c>
      <c r="Q49" s="457">
        <v>4</v>
      </c>
      <c r="R49" s="458">
        <v>-6</v>
      </c>
      <c r="S49" s="459" t="str">
        <f t="shared" si="16"/>
        <v>_O5 =</v>
      </c>
      <c r="T49" s="457">
        <v>4</v>
      </c>
      <c r="U49" s="460">
        <v>1</v>
      </c>
      <c r="V49" s="459" t="str">
        <f t="shared" si="17"/>
        <v>_O6 =</v>
      </c>
      <c r="W49" s="457">
        <v>4</v>
      </c>
      <c r="X49" s="461">
        <v>7</v>
      </c>
      <c r="Y49" s="345"/>
      <c r="Z49" s="385">
        <v>286.5</v>
      </c>
      <c r="AA49" s="354">
        <v>13</v>
      </c>
      <c r="AB49" s="355">
        <v>7</v>
      </c>
      <c r="AC49" s="345">
        <v>2</v>
      </c>
    </row>
    <row r="50" spans="1:29" ht="13.5" thickBot="1">
      <c r="A50" s="462">
        <f>'Tape lengths'!D51</f>
        <v>8</v>
      </c>
      <c r="B50" s="463" t="str">
        <f>'Tape lengths'!F51</f>
        <v>_M3/_M4/_M5</v>
      </c>
      <c r="C50" s="463" t="str">
        <f t="shared" si="18"/>
        <v>187/187/187</v>
      </c>
      <c r="D50" s="463">
        <v>25</v>
      </c>
      <c r="E50" s="357">
        <v>62.5</v>
      </c>
      <c r="F50" s="464">
        <v>2</v>
      </c>
      <c r="G50" s="465"/>
      <c r="H50" s="466" t="str">
        <f t="shared" si="12"/>
        <v>_M3 =</v>
      </c>
      <c r="I50" s="467">
        <f t="shared" si="19"/>
        <v>276.5</v>
      </c>
      <c r="J50" s="466" t="str">
        <f t="shared" si="13"/>
        <v>_M4 =</v>
      </c>
      <c r="K50" s="467">
        <f t="shared" si="20"/>
        <v>276.5</v>
      </c>
      <c r="L50" s="466" t="str">
        <f t="shared" si="14"/>
        <v>_M5 =</v>
      </c>
      <c r="M50" s="468">
        <f t="shared" si="21"/>
        <v>276.5</v>
      </c>
      <c r="N50" s="345"/>
      <c r="O50" s="363">
        <v>8</v>
      </c>
      <c r="P50" s="469" t="str">
        <f t="shared" si="15"/>
        <v>_M3 =</v>
      </c>
      <c r="Q50" s="470">
        <v>4</v>
      </c>
      <c r="R50" s="471">
        <v>-7</v>
      </c>
      <c r="S50" s="472" t="str">
        <f t="shared" si="16"/>
        <v>_M4 =</v>
      </c>
      <c r="T50" s="470">
        <v>4</v>
      </c>
      <c r="U50" s="473">
        <v>-2</v>
      </c>
      <c r="V50" s="472" t="str">
        <f t="shared" si="17"/>
        <v>_M5 =</v>
      </c>
      <c r="W50" s="470">
        <v>4</v>
      </c>
      <c r="X50" s="474">
        <v>8</v>
      </c>
      <c r="Y50" s="345"/>
      <c r="Z50" s="353">
        <v>291.5</v>
      </c>
      <c r="AA50" s="475">
        <v>14</v>
      </c>
      <c r="AB50" s="355">
        <v>1</v>
      </c>
      <c r="AC50" s="345">
        <v>1</v>
      </c>
    </row>
    <row r="51" spans="1:29" ht="12.75">
      <c r="A51" s="371">
        <f>'Tape lengths'!D52</f>
        <v>9</v>
      </c>
      <c r="B51" s="372" t="str">
        <f>'Tape lengths'!F52</f>
        <v>___/_O8/___</v>
      </c>
      <c r="C51" s="372" t="str">
        <f t="shared" si="18"/>
        <v>197/197/197</v>
      </c>
      <c r="D51" s="372">
        <v>25</v>
      </c>
      <c r="E51" s="372">
        <v>18.5</v>
      </c>
      <c r="F51" s="373">
        <v>2</v>
      </c>
      <c r="G51" s="374"/>
      <c r="H51" s="476" t="str">
        <f t="shared" si="12"/>
        <v>None</v>
      </c>
      <c r="I51" s="477" t="str">
        <f t="shared" si="19"/>
        <v>None</v>
      </c>
      <c r="J51" s="476" t="str">
        <f t="shared" si="13"/>
        <v>_O8 =</v>
      </c>
      <c r="K51" s="477">
        <f t="shared" si="20"/>
        <v>242.5</v>
      </c>
      <c r="L51" s="476" t="str">
        <f t="shared" si="14"/>
        <v>None</v>
      </c>
      <c r="M51" s="478" t="str">
        <f t="shared" si="21"/>
        <v>None</v>
      </c>
      <c r="N51" s="345"/>
      <c r="O51" s="346">
        <v>9</v>
      </c>
      <c r="P51" s="479">
        <f t="shared" si="15"/>
      </c>
      <c r="Q51" s="480"/>
      <c r="R51" s="481"/>
      <c r="S51" s="482" t="str">
        <f t="shared" si="16"/>
        <v>_O8 =</v>
      </c>
      <c r="T51" s="480">
        <v>4</v>
      </c>
      <c r="U51" s="481">
        <v>2</v>
      </c>
      <c r="V51" s="482">
        <f t="shared" si="17"/>
      </c>
      <c r="W51" s="480"/>
      <c r="X51" s="483"/>
      <c r="Y51" s="345"/>
      <c r="Z51" s="353">
        <v>295.5</v>
      </c>
      <c r="AA51" s="354">
        <v>15</v>
      </c>
      <c r="AB51" s="355">
        <v>3</v>
      </c>
      <c r="AC51" s="345">
        <v>3</v>
      </c>
    </row>
    <row r="52" spans="1:29" ht="13.5" thickBot="1">
      <c r="A52" s="484">
        <f>'Tape lengths'!D53</f>
        <v>9</v>
      </c>
      <c r="B52" s="485" t="str">
        <f>'Tape lengths'!F53</f>
        <v>_O9/_07/___</v>
      </c>
      <c r="C52" s="485" t="str">
        <f t="shared" si="18"/>
        <v>197/197/197</v>
      </c>
      <c r="D52" s="485">
        <v>25</v>
      </c>
      <c r="E52" s="486">
        <v>62.5</v>
      </c>
      <c r="F52" s="486">
        <v>2</v>
      </c>
      <c r="G52" s="487"/>
      <c r="H52" s="488" t="str">
        <f t="shared" si="12"/>
        <v>_O9 =</v>
      </c>
      <c r="I52" s="489">
        <f t="shared" si="19"/>
        <v>286.5</v>
      </c>
      <c r="J52" s="488" t="str">
        <f t="shared" si="13"/>
        <v>_07 =</v>
      </c>
      <c r="K52" s="489">
        <f t="shared" si="20"/>
        <v>286.5</v>
      </c>
      <c r="L52" s="488" t="str">
        <f t="shared" si="14"/>
        <v>None</v>
      </c>
      <c r="M52" s="490" t="str">
        <f t="shared" si="21"/>
        <v>None</v>
      </c>
      <c r="N52" s="345"/>
      <c r="O52" s="491">
        <v>9</v>
      </c>
      <c r="P52" s="492" t="str">
        <f t="shared" si="15"/>
        <v>_O9 =</v>
      </c>
      <c r="Q52" s="493">
        <v>4</v>
      </c>
      <c r="R52" s="494">
        <v>-8</v>
      </c>
      <c r="S52" s="495" t="str">
        <f t="shared" si="16"/>
        <v>_07 =</v>
      </c>
      <c r="T52" s="493">
        <v>4</v>
      </c>
      <c r="U52" s="496">
        <v>-3</v>
      </c>
      <c r="V52" s="495">
        <f t="shared" si="17"/>
      </c>
      <c r="W52" s="493"/>
      <c r="X52" s="497"/>
      <c r="Y52" s="345"/>
      <c r="Z52" s="370">
        <v>301.5</v>
      </c>
      <c r="AA52" s="354" t="s">
        <v>213</v>
      </c>
      <c r="AB52" s="355"/>
      <c r="AC52" s="345">
        <v>2</v>
      </c>
    </row>
    <row r="53" spans="1:29" ht="13.5" thickTop="1">
      <c r="A53" s="345"/>
      <c r="B53" s="345"/>
      <c r="C53" s="345"/>
      <c r="D53" s="345"/>
      <c r="E53" s="345"/>
      <c r="F53" s="345"/>
      <c r="G53" s="345"/>
      <c r="H53" s="498" t="s">
        <v>186</v>
      </c>
      <c r="I53" s="498"/>
      <c r="J53" s="499"/>
      <c r="K53" s="498"/>
      <c r="L53" s="499"/>
      <c r="M53" s="498"/>
      <c r="N53" s="345"/>
      <c r="O53" s="345"/>
      <c r="P53" s="498" t="s">
        <v>190</v>
      </c>
      <c r="Q53" s="345"/>
      <c r="R53" s="345"/>
      <c r="S53" s="500"/>
      <c r="T53" s="345"/>
      <c r="U53" s="345"/>
      <c r="V53" s="500"/>
      <c r="W53" s="345"/>
      <c r="X53" s="345"/>
      <c r="Y53" s="345"/>
      <c r="Z53" s="385">
        <v>305.5</v>
      </c>
      <c r="AA53" s="354">
        <v>16</v>
      </c>
      <c r="AB53" s="355">
        <v>3</v>
      </c>
      <c r="AC53" s="345">
        <v>1</v>
      </c>
    </row>
    <row r="54" spans="1:29" ht="12.75">
      <c r="A54" s="345"/>
      <c r="B54" s="345"/>
      <c r="C54" s="345"/>
      <c r="D54" s="345"/>
      <c r="E54" s="345"/>
      <c r="F54" s="345"/>
      <c r="G54" s="345"/>
      <c r="H54" s="498" t="s">
        <v>187</v>
      </c>
      <c r="I54" s="498"/>
      <c r="J54" s="499"/>
      <c r="K54" s="498"/>
      <c r="L54" s="499"/>
      <c r="M54" s="498"/>
      <c r="N54" s="345"/>
      <c r="O54" s="345"/>
      <c r="P54" s="498" t="s">
        <v>191</v>
      </c>
      <c r="Q54" s="345"/>
      <c r="R54" s="345"/>
      <c r="S54" s="500"/>
      <c r="T54" s="345"/>
      <c r="U54" s="345"/>
      <c r="V54" s="500"/>
      <c r="W54" s="345"/>
      <c r="X54" s="345"/>
      <c r="Y54" s="345"/>
      <c r="Z54" s="353">
        <v>321</v>
      </c>
      <c r="AA54" s="354">
        <v>17</v>
      </c>
      <c r="AB54" s="355">
        <v>3</v>
      </c>
      <c r="AC54" s="345">
        <v>3</v>
      </c>
    </row>
    <row r="55" spans="1:29" ht="13.5" thickBot="1">
      <c r="A55" s="345"/>
      <c r="B55" s="345"/>
      <c r="C55" s="345"/>
      <c r="D55" s="345"/>
      <c r="E55" s="345"/>
      <c r="F55" s="345"/>
      <c r="G55" s="345"/>
      <c r="H55" s="498"/>
      <c r="I55" s="498"/>
      <c r="J55" s="499"/>
      <c r="K55" s="498"/>
      <c r="L55" s="499"/>
      <c r="M55" s="498"/>
      <c r="N55" s="345"/>
      <c r="O55" s="345"/>
      <c r="P55" s="498"/>
      <c r="Q55" s="345"/>
      <c r="R55" s="345"/>
      <c r="S55" s="500"/>
      <c r="T55" s="345"/>
      <c r="U55" s="345"/>
      <c r="V55" s="500"/>
      <c r="W55" s="345"/>
      <c r="X55" s="345"/>
      <c r="Y55" s="345"/>
      <c r="Z55" s="501"/>
      <c r="AA55" s="502" t="s">
        <v>214</v>
      </c>
      <c r="AB55" s="503">
        <f>SUM(AB30:AB54)</f>
        <v>66</v>
      </c>
      <c r="AC55" s="345"/>
    </row>
    <row r="56" spans="1:29" s="134" customFormat="1" ht="103.5" thickBot="1" thickTop="1">
      <c r="A56" s="324" t="str">
        <f>A1</f>
        <v>Disc</v>
      </c>
      <c r="B56" s="325" t="str">
        <f>B1</f>
        <v>Modules</v>
      </c>
      <c r="C56" s="325" t="str">
        <f>C1</f>
        <v>Length from Clamp to PCB (mm, from CAD)</v>
      </c>
      <c r="D56" s="325" t="str">
        <f aca="true" t="shared" si="22" ref="D56:M56">D1</f>
        <v>Excess for short-connection (mm)</v>
      </c>
      <c r="E56" s="325" t="str">
        <f t="shared" si="22"/>
        <v>Length from edge of PCB to connector (mm)</v>
      </c>
      <c r="F56" s="325" t="str">
        <f t="shared" si="22"/>
        <v>Phi adjustment</v>
      </c>
      <c r="G56" s="325" t="str">
        <f t="shared" si="22"/>
        <v>Adjustment for 2-way PCB position in 3-way tray (D1 only)</v>
      </c>
      <c r="H56" s="325" t="str">
        <f t="shared" si="22"/>
        <v>Module @ LH PCB</v>
      </c>
      <c r="I56" s="325" t="str">
        <f t="shared" si="22"/>
        <v>Length (mm)</v>
      </c>
      <c r="J56" s="325" t="str">
        <f t="shared" si="22"/>
        <v>Module @ Middle PCB</v>
      </c>
      <c r="K56" s="325" t="str">
        <f t="shared" si="22"/>
        <v>Length (mm)</v>
      </c>
      <c r="L56" s="325" t="str">
        <f t="shared" si="22"/>
        <v>Module @ RH PCB</v>
      </c>
      <c r="M56" s="326" t="str">
        <f t="shared" si="22"/>
        <v>Length (mm)</v>
      </c>
      <c r="N56" s="327"/>
      <c r="O56" s="328" t="s">
        <v>61</v>
      </c>
      <c r="P56" s="329" t="str">
        <f>P1</f>
        <v>Module</v>
      </c>
      <c r="Q56" s="330" t="str">
        <f aca="true" t="shared" si="23" ref="Q56:X56">Q1</f>
        <v>Row (1 = low Z, 4 = high Z)</v>
      </c>
      <c r="R56" s="331" t="str">
        <f t="shared" si="23"/>
        <v>Suggested clamp position (for LH PCB =-8 to  -3, all but blue = -7 to -3)</v>
      </c>
      <c r="S56" s="332" t="str">
        <f t="shared" si="23"/>
        <v>Module</v>
      </c>
      <c r="T56" s="330" t="str">
        <f t="shared" si="23"/>
        <v>Row (1 = low Z, 4 = high Z)</v>
      </c>
      <c r="U56" s="333" t="str">
        <f t="shared" si="23"/>
        <v>Suggested clamp position (for middle PCB =-3 through 0 to 3)</v>
      </c>
      <c r="V56" s="332" t="str">
        <f t="shared" si="23"/>
        <v>Module</v>
      </c>
      <c r="W56" s="330" t="str">
        <f t="shared" si="23"/>
        <v>Row (1 = low Z, 4 = high Z)</v>
      </c>
      <c r="X56" s="334" t="str">
        <f t="shared" si="23"/>
        <v>Suggested clamp position (for RH PCB = 3 to 8, all but blue = 3 to 7)</v>
      </c>
      <c r="Y56" s="327"/>
      <c r="Z56" s="335" t="s">
        <v>211</v>
      </c>
      <c r="AA56" s="336" t="s">
        <v>212</v>
      </c>
      <c r="AB56" s="337" t="s">
        <v>199</v>
      </c>
      <c r="AC56" s="327"/>
    </row>
    <row r="57" spans="1:29" ht="13.5" thickTop="1">
      <c r="A57" s="338">
        <f>'Tape lengths'!D57</f>
        <v>1</v>
      </c>
      <c r="B57" s="339" t="str">
        <f>'Tape lengths'!F57</f>
        <v>_M7/_O7/_09</v>
      </c>
      <c r="C57" s="339" t="str">
        <f>C2</f>
        <v>144/144/144</v>
      </c>
      <c r="D57" s="339">
        <v>25</v>
      </c>
      <c r="E57" s="339">
        <v>62.5</v>
      </c>
      <c r="F57" s="340">
        <v>2</v>
      </c>
      <c r="G57" s="341">
        <v>43.5</v>
      </c>
      <c r="H57" s="342" t="str">
        <f aca="true" t="shared" si="24" ref="H57:H79">IF((MID(B57,1,3))="___","None",(MID(B57,1,3))&amp;" =")</f>
        <v>_M7 =</v>
      </c>
      <c r="I57" s="343">
        <f>IF((MID(B57,1,3))="___","None",(MID(C57,1,3))+D57+E57+F57+G57)</f>
        <v>277</v>
      </c>
      <c r="J57" s="342" t="str">
        <f aca="true" t="shared" si="25" ref="J57:J79">IF((MID(B57,5,3))="___","None",(MID(B57,5,3))&amp;" =")</f>
        <v>_O7 =</v>
      </c>
      <c r="K57" s="343">
        <f>IF((MID(B57,5,3))="___","None",(MID(C57,5,3))+D57+E57+F57+G57)</f>
        <v>277</v>
      </c>
      <c r="L57" s="342" t="str">
        <f aca="true" t="shared" si="26" ref="L57:L79">IF((MID(B57,9,3))="___","None",(MID(B57,9,3))&amp;" =")</f>
        <v>_09 =</v>
      </c>
      <c r="M57" s="344">
        <f>IF((MID(B57,9,3))="___","None",(MID(C57,9,3))+D57+E57+F57+G57)</f>
        <v>277</v>
      </c>
      <c r="N57" s="345"/>
      <c r="O57" s="346">
        <v>1</v>
      </c>
      <c r="P57" s="347" t="str">
        <f aca="true" t="shared" si="27" ref="P57:P79">IF((MID(B57,1,3))="___","",(MID(B57,1,3))&amp;" =")</f>
        <v>_M7 =</v>
      </c>
      <c r="Q57" s="348">
        <v>1</v>
      </c>
      <c r="R57" s="349">
        <v>-4</v>
      </c>
      <c r="S57" s="350" t="str">
        <f aca="true" t="shared" si="28" ref="S57:S79">IF((MID(B57,5,3))="___","",(MID(B57,5,3))&amp;" =")</f>
        <v>_O7 =</v>
      </c>
      <c r="T57" s="348">
        <v>1</v>
      </c>
      <c r="U57" s="351">
        <v>0</v>
      </c>
      <c r="V57" s="350" t="str">
        <f aca="true" t="shared" si="29" ref="V57:V79">IF((MID(B57,9,3))="___","",(MID(B57,9,3))&amp;" =")</f>
        <v>_09 =</v>
      </c>
      <c r="W57" s="348">
        <v>1</v>
      </c>
      <c r="X57" s="352">
        <v>4</v>
      </c>
      <c r="Y57" s="345"/>
      <c r="Z57" s="353">
        <v>188.5</v>
      </c>
      <c r="AA57" s="354">
        <v>1</v>
      </c>
      <c r="AB57" s="355">
        <v>3</v>
      </c>
      <c r="AC57" s="504">
        <v>3</v>
      </c>
    </row>
    <row r="58" spans="1:29" ht="13.5" thickBot="1">
      <c r="A58" s="356">
        <f>'Tape lengths'!D58</f>
        <v>1</v>
      </c>
      <c r="B58" s="357" t="str">
        <f>'Tape lengths'!F58</f>
        <v>_M6/_O8/_M8</v>
      </c>
      <c r="C58" s="357" t="str">
        <f aca="true" t="shared" si="30" ref="C58:C79">C3</f>
        <v>144/144/144</v>
      </c>
      <c r="D58" s="357">
        <v>25</v>
      </c>
      <c r="E58" s="357">
        <v>106.5</v>
      </c>
      <c r="F58" s="358">
        <v>2</v>
      </c>
      <c r="G58" s="359">
        <v>43.5</v>
      </c>
      <c r="H58" s="360" t="str">
        <f t="shared" si="24"/>
        <v>_M6 =</v>
      </c>
      <c r="I58" s="361">
        <f>IF((MID(B58,1,3))="___","None",(MID(C58,1,3))+D58+E58+F58+G58)</f>
        <v>321</v>
      </c>
      <c r="J58" s="360" t="str">
        <f t="shared" si="25"/>
        <v>_O8 =</v>
      </c>
      <c r="K58" s="361">
        <f>IF((MID(B58,5,3))="___","None",(MID(C58,5,3))+D58+E58+F58+G58)</f>
        <v>321</v>
      </c>
      <c r="L58" s="360" t="str">
        <f t="shared" si="26"/>
        <v>_M8 =</v>
      </c>
      <c r="M58" s="362">
        <f>IF((MID(B58,9,3))="___","None",(MID(C58,9,3))+D58+E58+F58+G58)</f>
        <v>321</v>
      </c>
      <c r="N58" s="345"/>
      <c r="O58" s="363">
        <v>1</v>
      </c>
      <c r="P58" s="364" t="str">
        <f t="shared" si="27"/>
        <v>_M6 =</v>
      </c>
      <c r="Q58" s="365">
        <v>1</v>
      </c>
      <c r="R58" s="366">
        <v>-5</v>
      </c>
      <c r="S58" s="367" t="str">
        <f t="shared" si="28"/>
        <v>_O8 =</v>
      </c>
      <c r="T58" s="365">
        <v>1</v>
      </c>
      <c r="U58" s="368">
        <v>-1</v>
      </c>
      <c r="V58" s="367" t="str">
        <f t="shared" si="29"/>
        <v>_M8 =</v>
      </c>
      <c r="W58" s="365">
        <v>1</v>
      </c>
      <c r="X58" s="369">
        <v>5</v>
      </c>
      <c r="Y58" s="345"/>
      <c r="Z58" s="370">
        <v>195.5</v>
      </c>
      <c r="AA58" s="354" t="s">
        <v>213</v>
      </c>
      <c r="AB58" s="355"/>
      <c r="AC58" s="504">
        <v>3</v>
      </c>
    </row>
    <row r="59" spans="1:29" ht="12.75">
      <c r="A59" s="371">
        <f>'Tape lengths'!D59</f>
        <v>2</v>
      </c>
      <c r="B59" s="372" t="str">
        <f>'Tape lengths'!F59</f>
        <v>_M7/_I6/_I7</v>
      </c>
      <c r="C59" s="372" t="str">
        <f t="shared" si="30"/>
        <v>143/143/143</v>
      </c>
      <c r="D59" s="372">
        <v>25</v>
      </c>
      <c r="E59" s="372">
        <v>18.5</v>
      </c>
      <c r="F59" s="373">
        <v>2</v>
      </c>
      <c r="G59" s="374"/>
      <c r="H59" s="375" t="str">
        <f t="shared" si="24"/>
        <v>_M7 =</v>
      </c>
      <c r="I59" s="376">
        <f aca="true" t="shared" si="31" ref="I59:I79">IF((MID(B59,1,3))="___","None",(MID(C59,1,3))+D59+E59+F59)</f>
        <v>188.5</v>
      </c>
      <c r="J59" s="375" t="str">
        <f t="shared" si="25"/>
        <v>_I6 =</v>
      </c>
      <c r="K59" s="376">
        <f aca="true" t="shared" si="32" ref="K59:K79">IF((MID(B59,5,3))="___","None",(MID(C59,5,3))+D59+E59+F59)</f>
        <v>188.5</v>
      </c>
      <c r="L59" s="375" t="str">
        <f t="shared" si="26"/>
        <v>_I7 =</v>
      </c>
      <c r="M59" s="377">
        <f aca="true" t="shared" si="33" ref="M59:M79">IF((MID(B59,9,3))="___","None",(MID(C59,9,3))+D59+E59+F59)</f>
        <v>188.5</v>
      </c>
      <c r="N59" s="345"/>
      <c r="O59" s="378">
        <v>2</v>
      </c>
      <c r="P59" s="379" t="str">
        <f t="shared" si="27"/>
        <v>_M7 =</v>
      </c>
      <c r="Q59" s="380">
        <v>1</v>
      </c>
      <c r="R59" s="381">
        <v>-6</v>
      </c>
      <c r="S59" s="382" t="str">
        <f t="shared" si="28"/>
        <v>_I6 =</v>
      </c>
      <c r="T59" s="380">
        <v>1</v>
      </c>
      <c r="U59" s="383">
        <v>1</v>
      </c>
      <c r="V59" s="382" t="str">
        <f t="shared" si="29"/>
        <v>_I7 =</v>
      </c>
      <c r="W59" s="380">
        <v>1</v>
      </c>
      <c r="X59" s="384">
        <v>6</v>
      </c>
      <c r="Y59" s="345"/>
      <c r="Z59" s="385">
        <v>198.5</v>
      </c>
      <c r="AA59" s="354">
        <v>2</v>
      </c>
      <c r="AB59" s="355">
        <v>6</v>
      </c>
      <c r="AC59" s="504">
        <v>3</v>
      </c>
    </row>
    <row r="60" spans="1:29" ht="12.75">
      <c r="A60" s="356">
        <f>'Tape lengths'!D60</f>
        <v>2</v>
      </c>
      <c r="B60" s="357" t="str">
        <f>'Tape lengths'!F60</f>
        <v>_M6/_O8/_M8</v>
      </c>
      <c r="C60" s="357" t="str">
        <f t="shared" si="30"/>
        <v>143/143/143</v>
      </c>
      <c r="D60" s="357">
        <v>25</v>
      </c>
      <c r="E60" s="357">
        <v>62.5</v>
      </c>
      <c r="F60" s="358">
        <v>2</v>
      </c>
      <c r="G60" s="359"/>
      <c r="H60" s="360" t="str">
        <f t="shared" si="24"/>
        <v>_M6 =</v>
      </c>
      <c r="I60" s="361">
        <f t="shared" si="31"/>
        <v>232.5</v>
      </c>
      <c r="J60" s="360" t="str">
        <f t="shared" si="25"/>
        <v>_O8 =</v>
      </c>
      <c r="K60" s="361">
        <f t="shared" si="32"/>
        <v>232.5</v>
      </c>
      <c r="L60" s="360" t="str">
        <f t="shared" si="26"/>
        <v>_M8 =</v>
      </c>
      <c r="M60" s="362">
        <f t="shared" si="33"/>
        <v>232.5</v>
      </c>
      <c r="N60" s="345"/>
      <c r="O60" s="346">
        <v>2</v>
      </c>
      <c r="P60" s="347" t="str">
        <f t="shared" si="27"/>
        <v>_M6 =</v>
      </c>
      <c r="Q60" s="348">
        <v>1</v>
      </c>
      <c r="R60" s="349">
        <v>-7</v>
      </c>
      <c r="S60" s="350" t="str">
        <f t="shared" si="28"/>
        <v>_O8 =</v>
      </c>
      <c r="T60" s="348">
        <v>1</v>
      </c>
      <c r="U60" s="351">
        <v>-2</v>
      </c>
      <c r="V60" s="350" t="str">
        <f t="shared" si="29"/>
        <v>_M8 =</v>
      </c>
      <c r="W60" s="348">
        <v>1</v>
      </c>
      <c r="X60" s="352">
        <v>7</v>
      </c>
      <c r="Y60" s="345"/>
      <c r="Z60" s="353">
        <v>207.5</v>
      </c>
      <c r="AA60" s="354">
        <v>3</v>
      </c>
      <c r="AB60" s="355">
        <v>3</v>
      </c>
      <c r="AC60" s="504">
        <v>3</v>
      </c>
    </row>
    <row r="61" spans="1:29" ht="13.5" thickBot="1">
      <c r="A61" s="356">
        <f>'Tape lengths'!D61</f>
        <v>2</v>
      </c>
      <c r="B61" s="357" t="str">
        <f>'Tape lengths'!F61</f>
        <v>___/_O7/_09</v>
      </c>
      <c r="C61" s="357" t="str">
        <f t="shared" si="30"/>
        <v>143/143/143</v>
      </c>
      <c r="D61" s="357">
        <v>25</v>
      </c>
      <c r="E61" s="357">
        <v>106.5</v>
      </c>
      <c r="F61" s="358">
        <v>2</v>
      </c>
      <c r="G61" s="359"/>
      <c r="H61" s="360" t="str">
        <f t="shared" si="24"/>
        <v>None</v>
      </c>
      <c r="I61" s="361" t="str">
        <f t="shared" si="31"/>
        <v>None</v>
      </c>
      <c r="J61" s="360" t="str">
        <f t="shared" si="25"/>
        <v>_O7 =</v>
      </c>
      <c r="K61" s="361">
        <f t="shared" si="32"/>
        <v>276.5</v>
      </c>
      <c r="L61" s="360" t="str">
        <f t="shared" si="26"/>
        <v>_09 =</v>
      </c>
      <c r="M61" s="362">
        <f t="shared" si="33"/>
        <v>276.5</v>
      </c>
      <c r="N61" s="345"/>
      <c r="O61" s="363">
        <v>2</v>
      </c>
      <c r="P61" s="364">
        <f t="shared" si="27"/>
      </c>
      <c r="Q61" s="365"/>
      <c r="R61" s="366"/>
      <c r="S61" s="367" t="str">
        <f t="shared" si="28"/>
        <v>_O7 =</v>
      </c>
      <c r="T61" s="365">
        <v>1</v>
      </c>
      <c r="U61" s="368">
        <v>2</v>
      </c>
      <c r="V61" s="367" t="str">
        <f t="shared" si="29"/>
        <v>_09 =</v>
      </c>
      <c r="W61" s="365">
        <v>1</v>
      </c>
      <c r="X61" s="369">
        <v>8</v>
      </c>
      <c r="Y61" s="345"/>
      <c r="Z61" s="353">
        <v>213.5</v>
      </c>
      <c r="AA61" s="354">
        <v>4</v>
      </c>
      <c r="AB61" s="355">
        <v>3</v>
      </c>
      <c r="AC61" s="504">
        <v>3</v>
      </c>
    </row>
    <row r="62" spans="1:29" ht="12.75">
      <c r="A62" s="371">
        <f>'Tape lengths'!D62</f>
        <v>3</v>
      </c>
      <c r="B62" s="372" t="str">
        <f>'Tape lengths'!F62</f>
        <v>_M7/_I6/_I7</v>
      </c>
      <c r="C62" s="372" t="str">
        <f t="shared" si="30"/>
        <v>150/150/150</v>
      </c>
      <c r="D62" s="372">
        <v>25</v>
      </c>
      <c r="E62" s="372">
        <v>18.5</v>
      </c>
      <c r="F62" s="373">
        <v>2</v>
      </c>
      <c r="G62" s="374"/>
      <c r="H62" s="386" t="str">
        <f t="shared" si="24"/>
        <v>_M7 =</v>
      </c>
      <c r="I62" s="387">
        <f t="shared" si="31"/>
        <v>195.5</v>
      </c>
      <c r="J62" s="386" t="str">
        <f t="shared" si="25"/>
        <v>_I6 =</v>
      </c>
      <c r="K62" s="387">
        <f t="shared" si="32"/>
        <v>195.5</v>
      </c>
      <c r="L62" s="386" t="str">
        <f t="shared" si="26"/>
        <v>_I7 =</v>
      </c>
      <c r="M62" s="388">
        <f t="shared" si="33"/>
        <v>195.5</v>
      </c>
      <c r="N62" s="345"/>
      <c r="O62" s="346">
        <v>3</v>
      </c>
      <c r="P62" s="389" t="str">
        <f t="shared" si="27"/>
        <v>_M7 =</v>
      </c>
      <c r="Q62" s="390">
        <v>2</v>
      </c>
      <c r="R62" s="391">
        <v>-5</v>
      </c>
      <c r="S62" s="392" t="str">
        <f t="shared" si="28"/>
        <v>_I6 =</v>
      </c>
      <c r="T62" s="390">
        <v>2</v>
      </c>
      <c r="U62" s="393">
        <v>0</v>
      </c>
      <c r="V62" s="392" t="str">
        <f t="shared" si="29"/>
        <v>_I7 =</v>
      </c>
      <c r="W62" s="390">
        <v>2</v>
      </c>
      <c r="X62" s="394">
        <v>3</v>
      </c>
      <c r="Y62" s="345"/>
      <c r="Z62" s="353">
        <v>223.5</v>
      </c>
      <c r="AA62" s="354">
        <v>5</v>
      </c>
      <c r="AB62" s="355">
        <v>3</v>
      </c>
      <c r="AC62" s="504">
        <v>3</v>
      </c>
    </row>
    <row r="63" spans="1:29" ht="12.75">
      <c r="A63" s="356">
        <f>'Tape lengths'!D63</f>
        <v>3</v>
      </c>
      <c r="B63" s="357" t="str">
        <f>'Tape lengths'!F63</f>
        <v>_M6/_O8/_M8</v>
      </c>
      <c r="C63" s="357" t="str">
        <f t="shared" si="30"/>
        <v>150/150/150</v>
      </c>
      <c r="D63" s="357">
        <v>25</v>
      </c>
      <c r="E63" s="357">
        <v>62.5</v>
      </c>
      <c r="F63" s="358">
        <v>2</v>
      </c>
      <c r="G63" s="359"/>
      <c r="H63" s="395" t="str">
        <f t="shared" si="24"/>
        <v>_M6 =</v>
      </c>
      <c r="I63" s="396">
        <f t="shared" si="31"/>
        <v>239.5</v>
      </c>
      <c r="J63" s="395" t="str">
        <f t="shared" si="25"/>
        <v>_O8 =</v>
      </c>
      <c r="K63" s="396">
        <f t="shared" si="32"/>
        <v>239.5</v>
      </c>
      <c r="L63" s="395" t="str">
        <f t="shared" si="26"/>
        <v>_M8 =</v>
      </c>
      <c r="M63" s="397">
        <f t="shared" si="33"/>
        <v>239.5</v>
      </c>
      <c r="N63" s="345"/>
      <c r="O63" s="346">
        <v>3</v>
      </c>
      <c r="P63" s="398" t="str">
        <f t="shared" si="27"/>
        <v>_M6 =</v>
      </c>
      <c r="Q63" s="399">
        <v>2</v>
      </c>
      <c r="R63" s="400">
        <v>-6</v>
      </c>
      <c r="S63" s="401" t="str">
        <f t="shared" si="28"/>
        <v>_O8 =</v>
      </c>
      <c r="T63" s="399">
        <v>2</v>
      </c>
      <c r="U63" s="402">
        <v>-1</v>
      </c>
      <c r="V63" s="401" t="str">
        <f t="shared" si="29"/>
        <v>_M8 =</v>
      </c>
      <c r="W63" s="399">
        <v>2</v>
      </c>
      <c r="X63" s="403">
        <v>4</v>
      </c>
      <c r="Y63" s="345"/>
      <c r="Z63" s="370">
        <v>232.5</v>
      </c>
      <c r="AA63" s="354" t="s">
        <v>213</v>
      </c>
      <c r="AB63" s="355"/>
      <c r="AC63" s="504">
        <v>3</v>
      </c>
    </row>
    <row r="64" spans="1:29" ht="13.5" thickBot="1">
      <c r="A64" s="356">
        <f>'Tape lengths'!D64</f>
        <v>3</v>
      </c>
      <c r="B64" s="357" t="str">
        <f>'Tape lengths'!F64</f>
        <v>___/_O7/_09</v>
      </c>
      <c r="C64" s="357" t="str">
        <f t="shared" si="30"/>
        <v>150/150/150</v>
      </c>
      <c r="D64" s="357">
        <v>25</v>
      </c>
      <c r="E64" s="357">
        <v>106.5</v>
      </c>
      <c r="F64" s="358">
        <v>2</v>
      </c>
      <c r="G64" s="359"/>
      <c r="H64" s="395" t="str">
        <f t="shared" si="24"/>
        <v>None</v>
      </c>
      <c r="I64" s="396" t="str">
        <f t="shared" si="31"/>
        <v>None</v>
      </c>
      <c r="J64" s="395" t="str">
        <f t="shared" si="25"/>
        <v>_O7 =</v>
      </c>
      <c r="K64" s="396">
        <f t="shared" si="32"/>
        <v>283.5</v>
      </c>
      <c r="L64" s="395" t="str">
        <f t="shared" si="26"/>
        <v>_09 =</v>
      </c>
      <c r="M64" s="397">
        <f t="shared" si="33"/>
        <v>283.5</v>
      </c>
      <c r="N64" s="345"/>
      <c r="O64" s="363">
        <v>3</v>
      </c>
      <c r="P64" s="404">
        <f t="shared" si="27"/>
      </c>
      <c r="Q64" s="405"/>
      <c r="R64" s="406"/>
      <c r="S64" s="407" t="str">
        <f t="shared" si="28"/>
        <v>_O7 =</v>
      </c>
      <c r="T64" s="405">
        <v>2</v>
      </c>
      <c r="U64" s="408">
        <v>1</v>
      </c>
      <c r="V64" s="407" t="str">
        <f t="shared" si="29"/>
        <v>_09 =</v>
      </c>
      <c r="W64" s="405">
        <v>2</v>
      </c>
      <c r="X64" s="409">
        <v>5</v>
      </c>
      <c r="Y64" s="345"/>
      <c r="Z64" s="385">
        <v>232.5</v>
      </c>
      <c r="AA64" s="354">
        <v>6</v>
      </c>
      <c r="AB64" s="355">
        <v>6</v>
      </c>
      <c r="AC64" s="504">
        <v>3</v>
      </c>
    </row>
    <row r="65" spans="1:29" ht="12.75">
      <c r="A65" s="371">
        <f>'Tape lengths'!D65</f>
        <v>4</v>
      </c>
      <c r="B65" s="372" t="str">
        <f>'Tape lengths'!F65</f>
        <v>_M7/_I6/_I7</v>
      </c>
      <c r="C65" s="372" t="str">
        <f t="shared" si="30"/>
        <v>153/153/153</v>
      </c>
      <c r="D65" s="372">
        <v>25</v>
      </c>
      <c r="E65" s="372">
        <v>18.5</v>
      </c>
      <c r="F65" s="373">
        <v>2</v>
      </c>
      <c r="G65" s="374"/>
      <c r="H65" s="386" t="str">
        <f t="shared" si="24"/>
        <v>_M7 =</v>
      </c>
      <c r="I65" s="387">
        <f t="shared" si="31"/>
        <v>198.5</v>
      </c>
      <c r="J65" s="386" t="str">
        <f t="shared" si="25"/>
        <v>_I6 =</v>
      </c>
      <c r="K65" s="387">
        <f t="shared" si="32"/>
        <v>198.5</v>
      </c>
      <c r="L65" s="386" t="str">
        <f t="shared" si="26"/>
        <v>_I7 =</v>
      </c>
      <c r="M65" s="388">
        <f t="shared" si="33"/>
        <v>198.5</v>
      </c>
      <c r="N65" s="345"/>
      <c r="O65" s="346">
        <v>4</v>
      </c>
      <c r="P65" s="389" t="str">
        <f t="shared" si="27"/>
        <v>_M7 =</v>
      </c>
      <c r="Q65" s="390">
        <v>2</v>
      </c>
      <c r="R65" s="391">
        <v>-7</v>
      </c>
      <c r="S65" s="392" t="str">
        <f t="shared" si="28"/>
        <v>_I6 =</v>
      </c>
      <c r="T65" s="390">
        <v>2</v>
      </c>
      <c r="U65" s="393">
        <v>-2</v>
      </c>
      <c r="V65" s="392" t="str">
        <f t="shared" si="29"/>
        <v>_I7 =</v>
      </c>
      <c r="W65" s="390">
        <v>2</v>
      </c>
      <c r="X65" s="394">
        <v>6</v>
      </c>
      <c r="Y65" s="345"/>
      <c r="Z65" s="353">
        <v>239.5</v>
      </c>
      <c r="AA65" s="354">
        <v>7</v>
      </c>
      <c r="AB65" s="355">
        <v>3</v>
      </c>
      <c r="AC65" s="504">
        <v>3</v>
      </c>
    </row>
    <row r="66" spans="1:29" ht="12.75">
      <c r="A66" s="356">
        <f>'Tape lengths'!D66</f>
        <v>4</v>
      </c>
      <c r="B66" s="357" t="str">
        <f>'Tape lengths'!F66</f>
        <v>_M6/_O8/_M8</v>
      </c>
      <c r="C66" s="357" t="str">
        <f t="shared" si="30"/>
        <v>153/153/153</v>
      </c>
      <c r="D66" s="357">
        <v>25</v>
      </c>
      <c r="E66" s="357">
        <v>62.5</v>
      </c>
      <c r="F66" s="358">
        <v>2</v>
      </c>
      <c r="G66" s="359"/>
      <c r="H66" s="395" t="str">
        <f t="shared" si="24"/>
        <v>_M6 =</v>
      </c>
      <c r="I66" s="396">
        <f t="shared" si="31"/>
        <v>242.5</v>
      </c>
      <c r="J66" s="395" t="str">
        <f t="shared" si="25"/>
        <v>_O8 =</v>
      </c>
      <c r="K66" s="396">
        <f t="shared" si="32"/>
        <v>242.5</v>
      </c>
      <c r="L66" s="395" t="str">
        <f t="shared" si="26"/>
        <v>_M8 =</v>
      </c>
      <c r="M66" s="397">
        <f t="shared" si="33"/>
        <v>242.5</v>
      </c>
      <c r="N66" s="345"/>
      <c r="O66" s="346">
        <v>4</v>
      </c>
      <c r="P66" s="398" t="str">
        <f t="shared" si="27"/>
        <v>_M6 =</v>
      </c>
      <c r="Q66" s="399">
        <v>2</v>
      </c>
      <c r="R66" s="400">
        <v>-8</v>
      </c>
      <c r="S66" s="401" t="str">
        <f t="shared" si="28"/>
        <v>_O8 =</v>
      </c>
      <c r="T66" s="399">
        <v>2</v>
      </c>
      <c r="U66" s="402">
        <v>2</v>
      </c>
      <c r="V66" s="401" t="str">
        <f t="shared" si="29"/>
        <v>_M8 =</v>
      </c>
      <c r="W66" s="399">
        <v>2</v>
      </c>
      <c r="X66" s="403">
        <v>7</v>
      </c>
      <c r="Y66" s="345"/>
      <c r="Z66" s="370">
        <v>242.5</v>
      </c>
      <c r="AA66" s="354" t="s">
        <v>213</v>
      </c>
      <c r="AB66" s="355"/>
      <c r="AC66" s="504">
        <v>3</v>
      </c>
    </row>
    <row r="67" spans="1:29" ht="13.5" thickBot="1">
      <c r="A67" s="356">
        <f>'Tape lengths'!D67</f>
        <v>4</v>
      </c>
      <c r="B67" s="357" t="str">
        <f>'Tape lengths'!F67</f>
        <v>___/_O7/_09</v>
      </c>
      <c r="C67" s="357" t="str">
        <f t="shared" si="30"/>
        <v>153/158/153</v>
      </c>
      <c r="D67" s="357">
        <v>25</v>
      </c>
      <c r="E67" s="357">
        <v>106.5</v>
      </c>
      <c r="F67" s="358">
        <v>2</v>
      </c>
      <c r="G67" s="359"/>
      <c r="H67" s="395" t="str">
        <f t="shared" si="24"/>
        <v>None</v>
      </c>
      <c r="I67" s="396" t="str">
        <f t="shared" si="31"/>
        <v>None</v>
      </c>
      <c r="J67" s="410" t="str">
        <f t="shared" si="25"/>
        <v>_O7 =</v>
      </c>
      <c r="K67" s="411">
        <f t="shared" si="32"/>
        <v>291.5</v>
      </c>
      <c r="L67" s="395" t="str">
        <f t="shared" si="26"/>
        <v>_09 =</v>
      </c>
      <c r="M67" s="397">
        <f t="shared" si="33"/>
        <v>286.5</v>
      </c>
      <c r="N67" s="345"/>
      <c r="O67" s="363">
        <v>4</v>
      </c>
      <c r="P67" s="404">
        <f t="shared" si="27"/>
      </c>
      <c r="Q67" s="405"/>
      <c r="R67" s="406"/>
      <c r="S67" s="412" t="str">
        <f t="shared" si="28"/>
        <v>_O7 =</v>
      </c>
      <c r="T67" s="413">
        <v>3</v>
      </c>
      <c r="U67" s="414">
        <v>0</v>
      </c>
      <c r="V67" s="407" t="str">
        <f t="shared" si="29"/>
        <v>_09 =</v>
      </c>
      <c r="W67" s="405">
        <v>2</v>
      </c>
      <c r="X67" s="409">
        <v>8</v>
      </c>
      <c r="Y67" s="345"/>
      <c r="Z67" s="385">
        <v>242.5</v>
      </c>
      <c r="AA67" s="354">
        <v>8</v>
      </c>
      <c r="AB67" s="355">
        <v>3</v>
      </c>
      <c r="AC67" s="504">
        <v>0</v>
      </c>
    </row>
    <row r="68" spans="1:29" ht="12.75">
      <c r="A68" s="371">
        <f>'Tape lengths'!D68</f>
        <v>5</v>
      </c>
      <c r="B68" s="372" t="str">
        <f>'Tape lengths'!F68</f>
        <v>_M7/_I6/_I7</v>
      </c>
      <c r="C68" s="372" t="str">
        <f t="shared" si="30"/>
        <v>162/162/162</v>
      </c>
      <c r="D68" s="372">
        <v>25</v>
      </c>
      <c r="E68" s="372">
        <v>18.5</v>
      </c>
      <c r="F68" s="373">
        <v>2</v>
      </c>
      <c r="G68" s="374"/>
      <c r="H68" s="415" t="str">
        <f t="shared" si="24"/>
        <v>_M7 =</v>
      </c>
      <c r="I68" s="416">
        <f t="shared" si="31"/>
        <v>207.5</v>
      </c>
      <c r="J68" s="415" t="str">
        <f t="shared" si="25"/>
        <v>_I6 =</v>
      </c>
      <c r="K68" s="416">
        <f t="shared" si="32"/>
        <v>207.5</v>
      </c>
      <c r="L68" s="415" t="str">
        <f t="shared" si="26"/>
        <v>_I7 =</v>
      </c>
      <c r="M68" s="417">
        <f t="shared" si="33"/>
        <v>207.5</v>
      </c>
      <c r="N68" s="345"/>
      <c r="O68" s="346">
        <v>5</v>
      </c>
      <c r="P68" s="418" t="str">
        <f t="shared" si="27"/>
        <v>_M7 =</v>
      </c>
      <c r="Q68" s="419">
        <v>3</v>
      </c>
      <c r="R68" s="420">
        <v>-5</v>
      </c>
      <c r="S68" s="421" t="str">
        <f t="shared" si="28"/>
        <v>_I6 =</v>
      </c>
      <c r="T68" s="419">
        <v>3</v>
      </c>
      <c r="U68" s="422">
        <v>-1</v>
      </c>
      <c r="V68" s="421" t="str">
        <f t="shared" si="29"/>
        <v>_I7 =</v>
      </c>
      <c r="W68" s="419">
        <v>3</v>
      </c>
      <c r="X68" s="423">
        <v>4</v>
      </c>
      <c r="Y68" s="345"/>
      <c r="Z68" s="353">
        <v>251.5</v>
      </c>
      <c r="AA68" s="354">
        <v>9</v>
      </c>
      <c r="AB68" s="355">
        <v>3</v>
      </c>
      <c r="AC68" s="504">
        <v>3</v>
      </c>
    </row>
    <row r="69" spans="1:29" ht="12.75">
      <c r="A69" s="356">
        <f>'Tape lengths'!D69</f>
        <v>5</v>
      </c>
      <c r="B69" s="357" t="str">
        <f>'Tape lengths'!F69</f>
        <v>_M6/_O8/_M8</v>
      </c>
      <c r="C69" s="357" t="str">
        <f t="shared" si="30"/>
        <v>162/162/162</v>
      </c>
      <c r="D69" s="357">
        <v>25</v>
      </c>
      <c r="E69" s="357">
        <v>62.5</v>
      </c>
      <c r="F69" s="358">
        <v>2</v>
      </c>
      <c r="G69" s="359"/>
      <c r="H69" s="410" t="str">
        <f t="shared" si="24"/>
        <v>_M6 =</v>
      </c>
      <c r="I69" s="411">
        <f t="shared" si="31"/>
        <v>251.5</v>
      </c>
      <c r="J69" s="410" t="str">
        <f t="shared" si="25"/>
        <v>_O8 =</v>
      </c>
      <c r="K69" s="411">
        <f t="shared" si="32"/>
        <v>251.5</v>
      </c>
      <c r="L69" s="410" t="str">
        <f t="shared" si="26"/>
        <v>_M8 =</v>
      </c>
      <c r="M69" s="424">
        <f t="shared" si="33"/>
        <v>251.5</v>
      </c>
      <c r="N69" s="345"/>
      <c r="O69" s="346">
        <v>5</v>
      </c>
      <c r="P69" s="425" t="str">
        <f t="shared" si="27"/>
        <v>_M6 =</v>
      </c>
      <c r="Q69" s="426">
        <v>3</v>
      </c>
      <c r="R69" s="427">
        <v>-6</v>
      </c>
      <c r="S69" s="428" t="str">
        <f t="shared" si="28"/>
        <v>_O8 =</v>
      </c>
      <c r="T69" s="426">
        <v>3</v>
      </c>
      <c r="U69" s="429">
        <v>1</v>
      </c>
      <c r="V69" s="428" t="str">
        <f t="shared" si="29"/>
        <v>_M8 =</v>
      </c>
      <c r="W69" s="426">
        <v>3</v>
      </c>
      <c r="X69" s="430">
        <v>5</v>
      </c>
      <c r="Y69" s="345"/>
      <c r="Z69" s="353">
        <v>257.5</v>
      </c>
      <c r="AA69" s="354">
        <v>10</v>
      </c>
      <c r="AB69" s="355">
        <v>3</v>
      </c>
      <c r="AC69" s="504">
        <v>3</v>
      </c>
    </row>
    <row r="70" spans="1:29" ht="13.5" thickBot="1">
      <c r="A70" s="356">
        <f>'Tape lengths'!D70</f>
        <v>5</v>
      </c>
      <c r="B70" s="357" t="str">
        <f>'Tape lengths'!F70</f>
        <v>___/_O7/_09</v>
      </c>
      <c r="C70" s="357" t="str">
        <f t="shared" si="30"/>
        <v>162/162/162</v>
      </c>
      <c r="D70" s="357">
        <v>25</v>
      </c>
      <c r="E70" s="357">
        <v>106.5</v>
      </c>
      <c r="F70" s="358">
        <v>2</v>
      </c>
      <c r="G70" s="359"/>
      <c r="H70" s="410" t="str">
        <f t="shared" si="24"/>
        <v>None</v>
      </c>
      <c r="I70" s="411" t="str">
        <f t="shared" si="31"/>
        <v>None</v>
      </c>
      <c r="J70" s="410" t="str">
        <f t="shared" si="25"/>
        <v>_O7 =</v>
      </c>
      <c r="K70" s="411">
        <f t="shared" si="32"/>
        <v>295.5</v>
      </c>
      <c r="L70" s="410" t="str">
        <f t="shared" si="26"/>
        <v>_09 =</v>
      </c>
      <c r="M70" s="424">
        <f t="shared" si="33"/>
        <v>295.5</v>
      </c>
      <c r="N70" s="345"/>
      <c r="O70" s="363">
        <v>5</v>
      </c>
      <c r="P70" s="431">
        <f t="shared" si="27"/>
      </c>
      <c r="Q70" s="413"/>
      <c r="R70" s="432"/>
      <c r="S70" s="412" t="str">
        <f t="shared" si="28"/>
        <v>_O7 =</v>
      </c>
      <c r="T70" s="413">
        <v>3</v>
      </c>
      <c r="U70" s="414">
        <v>-2</v>
      </c>
      <c r="V70" s="412" t="str">
        <f t="shared" si="29"/>
        <v>_09 =</v>
      </c>
      <c r="W70" s="413">
        <v>3</v>
      </c>
      <c r="X70" s="433">
        <v>6</v>
      </c>
      <c r="Y70" s="345"/>
      <c r="Z70" s="353">
        <v>267.5</v>
      </c>
      <c r="AA70" s="354">
        <v>11</v>
      </c>
      <c r="AB70" s="355">
        <v>3</v>
      </c>
      <c r="AC70" s="504">
        <v>3</v>
      </c>
    </row>
    <row r="71" spans="1:29" ht="12.75">
      <c r="A71" s="371">
        <f>'Tape lengths'!D71</f>
        <v>6</v>
      </c>
      <c r="B71" s="372" t="str">
        <f>'Tape lengths'!F71</f>
        <v>_M7/_I6/_I7</v>
      </c>
      <c r="C71" s="372" t="str">
        <f t="shared" si="30"/>
        <v>168/168/168</v>
      </c>
      <c r="D71" s="372">
        <v>25</v>
      </c>
      <c r="E71" s="372">
        <v>18.5</v>
      </c>
      <c r="F71" s="373">
        <v>2</v>
      </c>
      <c r="G71" s="374"/>
      <c r="H71" s="415" t="str">
        <f t="shared" si="24"/>
        <v>_M7 =</v>
      </c>
      <c r="I71" s="416">
        <f t="shared" si="31"/>
        <v>213.5</v>
      </c>
      <c r="J71" s="415" t="str">
        <f t="shared" si="25"/>
        <v>_I6 =</v>
      </c>
      <c r="K71" s="416">
        <f t="shared" si="32"/>
        <v>213.5</v>
      </c>
      <c r="L71" s="415" t="str">
        <f t="shared" si="26"/>
        <v>_I7 =</v>
      </c>
      <c r="M71" s="417">
        <f t="shared" si="33"/>
        <v>213.5</v>
      </c>
      <c r="N71" s="345"/>
      <c r="O71" s="346">
        <v>6</v>
      </c>
      <c r="P71" s="418" t="str">
        <f t="shared" si="27"/>
        <v>_M7 =</v>
      </c>
      <c r="Q71" s="419">
        <v>3</v>
      </c>
      <c r="R71" s="420">
        <v>-7</v>
      </c>
      <c r="S71" s="421" t="str">
        <f t="shared" si="28"/>
        <v>_I6 =</v>
      </c>
      <c r="T71" s="419">
        <v>3</v>
      </c>
      <c r="U71" s="422">
        <v>2</v>
      </c>
      <c r="V71" s="421" t="str">
        <f t="shared" si="29"/>
        <v>_I7 =</v>
      </c>
      <c r="W71" s="419">
        <v>3</v>
      </c>
      <c r="X71" s="423">
        <v>7</v>
      </c>
      <c r="Y71" s="345"/>
      <c r="Z71" s="370">
        <v>276.5</v>
      </c>
      <c r="AA71" s="354" t="s">
        <v>213</v>
      </c>
      <c r="AB71" s="355"/>
      <c r="AC71" s="504">
        <v>2</v>
      </c>
    </row>
    <row r="72" spans="1:29" ht="12.75">
      <c r="A72" s="356">
        <f>'Tape lengths'!D72</f>
        <v>6</v>
      </c>
      <c r="B72" s="357" t="str">
        <f>'Tape lengths'!F72</f>
        <v>_M6/_O8/_M8</v>
      </c>
      <c r="C72" s="357" t="str">
        <f t="shared" si="30"/>
        <v>168/168/168</v>
      </c>
      <c r="D72" s="357">
        <v>25</v>
      </c>
      <c r="E72" s="357">
        <v>62.5</v>
      </c>
      <c r="F72" s="358">
        <v>2</v>
      </c>
      <c r="G72" s="359"/>
      <c r="H72" s="410" t="str">
        <f t="shared" si="24"/>
        <v>_M6 =</v>
      </c>
      <c r="I72" s="411">
        <f t="shared" si="31"/>
        <v>257.5</v>
      </c>
      <c r="J72" s="410" t="str">
        <f t="shared" si="25"/>
        <v>_O8 =</v>
      </c>
      <c r="K72" s="411">
        <f t="shared" si="32"/>
        <v>257.5</v>
      </c>
      <c r="L72" s="410" t="str">
        <f t="shared" si="26"/>
        <v>_M8 =</v>
      </c>
      <c r="M72" s="424">
        <f t="shared" si="33"/>
        <v>257.5</v>
      </c>
      <c r="N72" s="345"/>
      <c r="O72" s="346">
        <v>6</v>
      </c>
      <c r="P72" s="425" t="str">
        <f t="shared" si="27"/>
        <v>_M6 =</v>
      </c>
      <c r="Q72" s="426">
        <v>3</v>
      </c>
      <c r="R72" s="427">
        <v>-8</v>
      </c>
      <c r="S72" s="428" t="str">
        <f t="shared" si="28"/>
        <v>_O8 =</v>
      </c>
      <c r="T72" s="426">
        <v>3</v>
      </c>
      <c r="U72" s="429">
        <v>-3</v>
      </c>
      <c r="V72" s="428" t="str">
        <f t="shared" si="29"/>
        <v>_M8 =</v>
      </c>
      <c r="W72" s="426">
        <v>3</v>
      </c>
      <c r="X72" s="430">
        <v>8</v>
      </c>
      <c r="Y72" s="345"/>
      <c r="Z72" s="434">
        <v>276.5</v>
      </c>
      <c r="AA72" s="354" t="s">
        <v>213</v>
      </c>
      <c r="AB72" s="355"/>
      <c r="AC72" s="504">
        <v>3</v>
      </c>
    </row>
    <row r="73" spans="1:29" ht="13.5" thickBot="1">
      <c r="A73" s="356">
        <f>'Tape lengths'!D73</f>
        <v>6</v>
      </c>
      <c r="B73" s="357" t="str">
        <f>'Tape lengths'!F73</f>
        <v>___/_O7/_09</v>
      </c>
      <c r="C73" s="357" t="str">
        <f t="shared" si="30"/>
        <v>168/172/168</v>
      </c>
      <c r="D73" s="357">
        <v>25</v>
      </c>
      <c r="E73" s="357">
        <v>106.5</v>
      </c>
      <c r="F73" s="358">
        <v>2</v>
      </c>
      <c r="G73" s="359"/>
      <c r="H73" s="435" t="str">
        <f t="shared" si="24"/>
        <v>None</v>
      </c>
      <c r="I73" s="436" t="str">
        <f t="shared" si="31"/>
        <v>None</v>
      </c>
      <c r="J73" s="410" t="str">
        <f t="shared" si="25"/>
        <v>_O7 =</v>
      </c>
      <c r="K73" s="411">
        <f t="shared" si="32"/>
        <v>305.5</v>
      </c>
      <c r="L73" s="435" t="str">
        <f t="shared" si="26"/>
        <v>_09 =</v>
      </c>
      <c r="M73" s="437">
        <f t="shared" si="33"/>
        <v>301.5</v>
      </c>
      <c r="N73" s="345"/>
      <c r="O73" s="363">
        <v>6</v>
      </c>
      <c r="P73" s="438">
        <f t="shared" si="27"/>
      </c>
      <c r="Q73" s="439"/>
      <c r="R73" s="440"/>
      <c r="S73" s="412" t="str">
        <f t="shared" si="28"/>
        <v>_O7 =</v>
      </c>
      <c r="T73" s="413">
        <v>3</v>
      </c>
      <c r="U73" s="414">
        <v>3</v>
      </c>
      <c r="V73" s="441" t="str">
        <f t="shared" si="29"/>
        <v>_09 =</v>
      </c>
      <c r="W73" s="439">
        <v>4</v>
      </c>
      <c r="X73" s="442">
        <v>3</v>
      </c>
      <c r="Y73" s="345"/>
      <c r="Z73" s="385">
        <v>277</v>
      </c>
      <c r="AA73" s="354">
        <v>12</v>
      </c>
      <c r="AB73" s="355">
        <v>8</v>
      </c>
      <c r="AC73" s="345">
        <v>3</v>
      </c>
    </row>
    <row r="74" spans="1:29" ht="12.75">
      <c r="A74" s="371">
        <f>'Tape lengths'!D74</f>
        <v>7</v>
      </c>
      <c r="B74" s="372" t="str">
        <f>'Tape lengths'!F74</f>
        <v>_M7/_O7/_09</v>
      </c>
      <c r="C74" s="372" t="str">
        <f t="shared" si="30"/>
        <v>178/178/178</v>
      </c>
      <c r="D74" s="372">
        <v>25</v>
      </c>
      <c r="E74" s="372">
        <v>18.5</v>
      </c>
      <c r="F74" s="373">
        <v>2</v>
      </c>
      <c r="G74" s="374"/>
      <c r="H74" s="443" t="str">
        <f t="shared" si="24"/>
        <v>_M7 =</v>
      </c>
      <c r="I74" s="444">
        <f t="shared" si="31"/>
        <v>223.5</v>
      </c>
      <c r="J74" s="443" t="str">
        <f t="shared" si="25"/>
        <v>_O7 =</v>
      </c>
      <c r="K74" s="444">
        <f t="shared" si="32"/>
        <v>223.5</v>
      </c>
      <c r="L74" s="443" t="str">
        <f t="shared" si="26"/>
        <v>_09 =</v>
      </c>
      <c r="M74" s="445">
        <f t="shared" si="33"/>
        <v>223.5</v>
      </c>
      <c r="N74" s="345"/>
      <c r="O74" s="346">
        <v>7</v>
      </c>
      <c r="P74" s="446" t="str">
        <f t="shared" si="27"/>
        <v>_M7 =</v>
      </c>
      <c r="Q74" s="447">
        <v>4</v>
      </c>
      <c r="R74" s="448">
        <v>-4</v>
      </c>
      <c r="S74" s="449" t="str">
        <f t="shared" si="28"/>
        <v>_O7 =</v>
      </c>
      <c r="T74" s="447">
        <v>4</v>
      </c>
      <c r="U74" s="450">
        <v>0</v>
      </c>
      <c r="V74" s="449" t="str">
        <f t="shared" si="29"/>
        <v>_09 =</v>
      </c>
      <c r="W74" s="447">
        <v>4</v>
      </c>
      <c r="X74" s="451">
        <v>4</v>
      </c>
      <c r="Y74" s="345"/>
      <c r="Z74" s="370">
        <v>283.5</v>
      </c>
      <c r="AA74" s="354" t="s">
        <v>213</v>
      </c>
      <c r="AB74" s="355"/>
      <c r="AC74" s="345">
        <v>2</v>
      </c>
    </row>
    <row r="75" spans="1:29" ht="13.5" thickBot="1">
      <c r="A75" s="356">
        <f>'Tape lengths'!D75</f>
        <v>7</v>
      </c>
      <c r="B75" s="357" t="str">
        <f>'Tape lengths'!F75</f>
        <v>_M6/_O8/_M8</v>
      </c>
      <c r="C75" s="357" t="str">
        <f t="shared" si="30"/>
        <v>178/178/178</v>
      </c>
      <c r="D75" s="357">
        <v>25</v>
      </c>
      <c r="E75" s="357">
        <v>62.5</v>
      </c>
      <c r="F75" s="358">
        <v>2</v>
      </c>
      <c r="G75" s="359"/>
      <c r="H75" s="435" t="str">
        <f t="shared" si="24"/>
        <v>_M6 =</v>
      </c>
      <c r="I75" s="436">
        <f t="shared" si="31"/>
        <v>267.5</v>
      </c>
      <c r="J75" s="435" t="str">
        <f t="shared" si="25"/>
        <v>_O8 =</v>
      </c>
      <c r="K75" s="436">
        <f t="shared" si="32"/>
        <v>267.5</v>
      </c>
      <c r="L75" s="435" t="str">
        <f t="shared" si="26"/>
        <v>_M8 =</v>
      </c>
      <c r="M75" s="437">
        <f t="shared" si="33"/>
        <v>267.5</v>
      </c>
      <c r="N75" s="345"/>
      <c r="O75" s="363">
        <v>7</v>
      </c>
      <c r="P75" s="438" t="str">
        <f t="shared" si="27"/>
        <v>_M6 =</v>
      </c>
      <c r="Q75" s="439">
        <v>4</v>
      </c>
      <c r="R75" s="440">
        <v>-5</v>
      </c>
      <c r="S75" s="441" t="str">
        <f t="shared" si="28"/>
        <v>_O8 =</v>
      </c>
      <c r="T75" s="439">
        <v>4</v>
      </c>
      <c r="U75" s="452">
        <v>-1</v>
      </c>
      <c r="V75" s="441" t="str">
        <f t="shared" si="29"/>
        <v>_M8 =</v>
      </c>
      <c r="W75" s="439">
        <v>4</v>
      </c>
      <c r="X75" s="442">
        <v>5</v>
      </c>
      <c r="Y75" s="345"/>
      <c r="Z75" s="434">
        <v>286.5</v>
      </c>
      <c r="AA75" s="354" t="s">
        <v>213</v>
      </c>
      <c r="AB75" s="355"/>
      <c r="AC75" s="345">
        <v>1</v>
      </c>
    </row>
    <row r="76" spans="1:29" ht="12.75">
      <c r="A76" s="371">
        <f>'Tape lengths'!D76</f>
        <v>8</v>
      </c>
      <c r="B76" s="372" t="str">
        <f>'Tape lengths'!F76</f>
        <v>_M7/_O7/_09</v>
      </c>
      <c r="C76" s="372" t="str">
        <f t="shared" si="30"/>
        <v>187/187/187</v>
      </c>
      <c r="D76" s="372">
        <v>25</v>
      </c>
      <c r="E76" s="372">
        <v>18.5</v>
      </c>
      <c r="F76" s="373">
        <v>2</v>
      </c>
      <c r="G76" s="374"/>
      <c r="H76" s="453" t="str">
        <f t="shared" si="24"/>
        <v>_M7 =</v>
      </c>
      <c r="I76" s="454">
        <f t="shared" si="31"/>
        <v>232.5</v>
      </c>
      <c r="J76" s="453" t="str">
        <f t="shared" si="25"/>
        <v>_O7 =</v>
      </c>
      <c r="K76" s="454">
        <f t="shared" si="32"/>
        <v>232.5</v>
      </c>
      <c r="L76" s="453" t="str">
        <f t="shared" si="26"/>
        <v>_09 =</v>
      </c>
      <c r="M76" s="455">
        <f t="shared" si="33"/>
        <v>232.5</v>
      </c>
      <c r="N76" s="345"/>
      <c r="O76" s="346">
        <v>8</v>
      </c>
      <c r="P76" s="456" t="str">
        <f t="shared" si="27"/>
        <v>_M7 =</v>
      </c>
      <c r="Q76" s="457">
        <v>4</v>
      </c>
      <c r="R76" s="458">
        <v>-6</v>
      </c>
      <c r="S76" s="459" t="str">
        <f t="shared" si="28"/>
        <v>_O7 =</v>
      </c>
      <c r="T76" s="457">
        <v>4</v>
      </c>
      <c r="U76" s="460">
        <v>1</v>
      </c>
      <c r="V76" s="459" t="str">
        <f t="shared" si="29"/>
        <v>_09 =</v>
      </c>
      <c r="W76" s="457">
        <v>4</v>
      </c>
      <c r="X76" s="461">
        <v>6</v>
      </c>
      <c r="Y76" s="345"/>
      <c r="Z76" s="385">
        <v>286.5</v>
      </c>
      <c r="AA76" s="354">
        <v>13</v>
      </c>
      <c r="AB76" s="355">
        <v>6</v>
      </c>
      <c r="AC76" s="345">
        <v>3</v>
      </c>
    </row>
    <row r="77" spans="1:29" ht="13.5" thickBot="1">
      <c r="A77" s="462">
        <f>'Tape lengths'!D77</f>
        <v>8</v>
      </c>
      <c r="B77" s="463" t="str">
        <f>'Tape lengths'!F77</f>
        <v>_M6/_O8/_M8</v>
      </c>
      <c r="C77" s="463" t="str">
        <f t="shared" si="30"/>
        <v>187/187/187</v>
      </c>
      <c r="D77" s="463">
        <v>25</v>
      </c>
      <c r="E77" s="357">
        <v>62.5</v>
      </c>
      <c r="F77" s="464">
        <v>2</v>
      </c>
      <c r="G77" s="465"/>
      <c r="H77" s="466" t="str">
        <f t="shared" si="24"/>
        <v>_M6 =</v>
      </c>
      <c r="I77" s="467">
        <f t="shared" si="31"/>
        <v>276.5</v>
      </c>
      <c r="J77" s="466" t="str">
        <f t="shared" si="25"/>
        <v>_O8 =</v>
      </c>
      <c r="K77" s="467">
        <f t="shared" si="32"/>
        <v>276.5</v>
      </c>
      <c r="L77" s="466" t="str">
        <f t="shared" si="26"/>
        <v>_M8 =</v>
      </c>
      <c r="M77" s="468">
        <f t="shared" si="33"/>
        <v>276.5</v>
      </c>
      <c r="N77" s="345"/>
      <c r="O77" s="363">
        <v>8</v>
      </c>
      <c r="P77" s="469" t="str">
        <f t="shared" si="27"/>
        <v>_M6 =</v>
      </c>
      <c r="Q77" s="470">
        <v>4</v>
      </c>
      <c r="R77" s="471">
        <v>-7</v>
      </c>
      <c r="S77" s="472" t="str">
        <f t="shared" si="28"/>
        <v>_O8 =</v>
      </c>
      <c r="T77" s="470">
        <v>4</v>
      </c>
      <c r="U77" s="473">
        <v>-2</v>
      </c>
      <c r="V77" s="472" t="str">
        <f t="shared" si="29"/>
        <v>_M8 =</v>
      </c>
      <c r="W77" s="470">
        <v>4</v>
      </c>
      <c r="X77" s="474">
        <v>7</v>
      </c>
      <c r="Y77" s="345"/>
      <c r="Z77" s="353">
        <v>291.5</v>
      </c>
      <c r="AA77" s="475">
        <v>14</v>
      </c>
      <c r="AB77" s="355">
        <v>1</v>
      </c>
      <c r="AC77" s="345">
        <v>1</v>
      </c>
    </row>
    <row r="78" spans="1:29" ht="12.75">
      <c r="A78" s="371">
        <f>'Tape lengths'!D78</f>
        <v>9</v>
      </c>
      <c r="B78" s="372" t="str">
        <f>'Tape lengths'!F78</f>
        <v>___/___/___</v>
      </c>
      <c r="C78" s="372" t="str">
        <f t="shared" si="30"/>
        <v>197/197/197</v>
      </c>
      <c r="D78" s="372">
        <v>25</v>
      </c>
      <c r="E78" s="372">
        <v>18.5</v>
      </c>
      <c r="F78" s="373">
        <v>2</v>
      </c>
      <c r="G78" s="374"/>
      <c r="H78" s="476" t="str">
        <f t="shared" si="24"/>
        <v>None</v>
      </c>
      <c r="I78" s="477" t="str">
        <f t="shared" si="31"/>
        <v>None</v>
      </c>
      <c r="J78" s="476" t="str">
        <f t="shared" si="25"/>
        <v>None</v>
      </c>
      <c r="K78" s="477" t="str">
        <f t="shared" si="32"/>
        <v>None</v>
      </c>
      <c r="L78" s="476" t="str">
        <f t="shared" si="26"/>
        <v>None</v>
      </c>
      <c r="M78" s="478" t="str">
        <f t="shared" si="33"/>
        <v>None</v>
      </c>
      <c r="N78" s="345"/>
      <c r="O78" s="346">
        <v>9</v>
      </c>
      <c r="P78" s="479">
        <f t="shared" si="27"/>
      </c>
      <c r="Q78" s="480"/>
      <c r="R78" s="481"/>
      <c r="S78" s="482">
        <f t="shared" si="28"/>
      </c>
      <c r="T78" s="480"/>
      <c r="U78" s="481"/>
      <c r="V78" s="482">
        <f t="shared" si="29"/>
      </c>
      <c r="W78" s="480"/>
      <c r="X78" s="483"/>
      <c r="Y78" s="345"/>
      <c r="Z78" s="353">
        <v>295.5</v>
      </c>
      <c r="AA78" s="354">
        <v>15</v>
      </c>
      <c r="AB78" s="355">
        <v>2</v>
      </c>
      <c r="AC78" s="345">
        <v>2</v>
      </c>
    </row>
    <row r="79" spans="1:29" ht="13.5" thickBot="1">
      <c r="A79" s="484">
        <f>'Tape lengths'!D79</f>
        <v>9</v>
      </c>
      <c r="B79" s="485" t="str">
        <f>'Tape lengths'!F79</f>
        <v>_O6/_O5/_O4</v>
      </c>
      <c r="C79" s="485" t="str">
        <f t="shared" si="30"/>
        <v>197/197/197</v>
      </c>
      <c r="D79" s="485">
        <v>25</v>
      </c>
      <c r="E79" s="486">
        <v>62.5</v>
      </c>
      <c r="F79" s="486">
        <v>2</v>
      </c>
      <c r="G79" s="487"/>
      <c r="H79" s="488" t="str">
        <f t="shared" si="24"/>
        <v>_O6 =</v>
      </c>
      <c r="I79" s="489">
        <f t="shared" si="31"/>
        <v>286.5</v>
      </c>
      <c r="J79" s="488" t="str">
        <f t="shared" si="25"/>
        <v>_O5 =</v>
      </c>
      <c r="K79" s="489">
        <f t="shared" si="32"/>
        <v>286.5</v>
      </c>
      <c r="L79" s="488" t="str">
        <f t="shared" si="26"/>
        <v>_O4 =</v>
      </c>
      <c r="M79" s="490">
        <f t="shared" si="33"/>
        <v>286.5</v>
      </c>
      <c r="N79" s="345"/>
      <c r="O79" s="491">
        <v>9</v>
      </c>
      <c r="P79" s="492" t="str">
        <f t="shared" si="27"/>
        <v>_O6 =</v>
      </c>
      <c r="Q79" s="493">
        <v>4</v>
      </c>
      <c r="R79" s="494">
        <v>-8</v>
      </c>
      <c r="S79" s="495" t="str">
        <f t="shared" si="28"/>
        <v>_O5 =</v>
      </c>
      <c r="T79" s="493">
        <v>4</v>
      </c>
      <c r="U79" s="496">
        <v>2</v>
      </c>
      <c r="V79" s="495" t="str">
        <f t="shared" si="29"/>
        <v>_O4 =</v>
      </c>
      <c r="W79" s="493">
        <v>4</v>
      </c>
      <c r="X79" s="497">
        <v>8</v>
      </c>
      <c r="Y79" s="345"/>
      <c r="Z79" s="370">
        <v>301.5</v>
      </c>
      <c r="AA79" s="354" t="s">
        <v>213</v>
      </c>
      <c r="AB79" s="355"/>
      <c r="AC79" s="345">
        <v>1</v>
      </c>
    </row>
    <row r="80" spans="1:29" ht="13.5" thickTop="1">
      <c r="A80" s="345"/>
      <c r="B80" s="345"/>
      <c r="C80" s="345"/>
      <c r="D80" s="345"/>
      <c r="E80" s="345"/>
      <c r="F80" s="345"/>
      <c r="G80" s="345"/>
      <c r="H80" s="498" t="s">
        <v>186</v>
      </c>
      <c r="I80" s="498"/>
      <c r="J80" s="499"/>
      <c r="K80" s="498"/>
      <c r="L80" s="499"/>
      <c r="M80" s="498"/>
      <c r="N80" s="345"/>
      <c r="O80" s="345"/>
      <c r="P80" s="498" t="s">
        <v>190</v>
      </c>
      <c r="Q80" s="345"/>
      <c r="R80" s="345"/>
      <c r="S80" s="500"/>
      <c r="T80" s="345"/>
      <c r="U80" s="345"/>
      <c r="V80" s="500"/>
      <c r="W80" s="345"/>
      <c r="X80" s="345"/>
      <c r="Y80" s="345"/>
      <c r="Z80" s="385">
        <v>305.5</v>
      </c>
      <c r="AA80" s="354">
        <v>16</v>
      </c>
      <c r="AB80" s="355">
        <v>2</v>
      </c>
      <c r="AC80" s="345">
        <v>1</v>
      </c>
    </row>
    <row r="81" spans="1:29" ht="12.75">
      <c r="A81" s="345"/>
      <c r="B81" s="345"/>
      <c r="C81" s="345"/>
      <c r="D81" s="345"/>
      <c r="E81" s="345"/>
      <c r="F81" s="345"/>
      <c r="G81" s="345"/>
      <c r="H81" s="498" t="s">
        <v>187</v>
      </c>
      <c r="I81" s="498"/>
      <c r="J81" s="499"/>
      <c r="K81" s="498"/>
      <c r="L81" s="499"/>
      <c r="M81" s="498"/>
      <c r="N81" s="345"/>
      <c r="O81" s="345"/>
      <c r="P81" s="498" t="s">
        <v>191</v>
      </c>
      <c r="Q81" s="345"/>
      <c r="R81" s="345"/>
      <c r="S81" s="500"/>
      <c r="T81" s="345"/>
      <c r="U81" s="345"/>
      <c r="V81" s="500"/>
      <c r="W81" s="345"/>
      <c r="X81" s="345"/>
      <c r="Y81" s="345"/>
      <c r="Z81" s="353">
        <v>321</v>
      </c>
      <c r="AA81" s="354">
        <v>17</v>
      </c>
      <c r="AB81" s="355">
        <v>3</v>
      </c>
      <c r="AC81" s="345">
        <v>3</v>
      </c>
    </row>
    <row r="82" spans="1:29" ht="13.5" thickBot="1">
      <c r="A82" s="345"/>
      <c r="B82" s="345"/>
      <c r="C82" s="345"/>
      <c r="D82" s="345"/>
      <c r="E82" s="345"/>
      <c r="F82" s="345"/>
      <c r="G82" s="345"/>
      <c r="H82" s="499"/>
      <c r="I82" s="498"/>
      <c r="J82" s="499"/>
      <c r="K82" s="498"/>
      <c r="L82" s="499"/>
      <c r="M82" s="498"/>
      <c r="N82" s="345"/>
      <c r="O82" s="345"/>
      <c r="P82" s="500"/>
      <c r="Q82" s="345"/>
      <c r="R82" s="345"/>
      <c r="S82" s="500"/>
      <c r="T82" s="345"/>
      <c r="U82" s="345"/>
      <c r="V82" s="500"/>
      <c r="W82" s="345"/>
      <c r="X82" s="345"/>
      <c r="Y82" s="345"/>
      <c r="Z82" s="501"/>
      <c r="AA82" s="502" t="s">
        <v>214</v>
      </c>
      <c r="AB82" s="503">
        <f>SUM(AB57:AB81)</f>
        <v>61</v>
      </c>
      <c r="AC82" s="345"/>
    </row>
    <row r="83" spans="8:25" ht="13.5" thickBot="1">
      <c r="H83" s="131"/>
      <c r="I83" s="135"/>
      <c r="J83" s="131"/>
      <c r="K83" s="135"/>
      <c r="L83" s="131"/>
      <c r="M83" s="135"/>
      <c r="Y83" s="134"/>
    </row>
    <row r="84" spans="1:30" s="134" customFormat="1" ht="129" thickBot="1" thickTop="1">
      <c r="A84" s="136" t="str">
        <f>A1</f>
        <v>Disc</v>
      </c>
      <c r="B84" s="137" t="str">
        <f>B1</f>
        <v>Modules</v>
      </c>
      <c r="C84" s="154" t="str">
        <f>C1</f>
        <v>Length from Clamp to PCB (mm, from CAD)</v>
      </c>
      <c r="D84" s="137" t="str">
        <f aca="true" t="shared" si="34" ref="D84:M84">D1</f>
        <v>Excess for short-connection (mm)</v>
      </c>
      <c r="E84" s="137" t="str">
        <f t="shared" si="34"/>
        <v>Length from edge of PCB to connector (mm)</v>
      </c>
      <c r="F84" s="137" t="str">
        <f t="shared" si="34"/>
        <v>Phi adjustment</v>
      </c>
      <c r="G84" s="137" t="str">
        <f t="shared" si="34"/>
        <v>Adjustment for 2-way PCB position in 3-way tray (D1 only)</v>
      </c>
      <c r="H84" s="137" t="str">
        <f t="shared" si="34"/>
        <v>Module @ LH PCB</v>
      </c>
      <c r="I84" s="137" t="str">
        <f t="shared" si="34"/>
        <v>Length (mm)</v>
      </c>
      <c r="J84" s="137" t="str">
        <f t="shared" si="34"/>
        <v>Module @ Middle PCB</v>
      </c>
      <c r="K84" s="137" t="str">
        <f t="shared" si="34"/>
        <v>Length (mm)</v>
      </c>
      <c r="L84" s="137" t="str">
        <f t="shared" si="34"/>
        <v>Module @ RH PCB</v>
      </c>
      <c r="M84" s="138" t="str">
        <f t="shared" si="34"/>
        <v>Length (mm)</v>
      </c>
      <c r="O84" s="229" t="s">
        <v>61</v>
      </c>
      <c r="P84" s="226" t="str">
        <f>P1</f>
        <v>Module</v>
      </c>
      <c r="Q84" s="199" t="str">
        <f aca="true" t="shared" si="35" ref="Q84:X84">Q1</f>
        <v>Row (1 = low Z, 4 = high Z)</v>
      </c>
      <c r="R84" s="201" t="str">
        <f t="shared" si="35"/>
        <v>Suggested clamp position (for LH PCB =-8 to  -3, all but blue = -7 to -3)</v>
      </c>
      <c r="S84" s="202" t="str">
        <f t="shared" si="35"/>
        <v>Module</v>
      </c>
      <c r="T84" s="199" t="str">
        <f t="shared" si="35"/>
        <v>Row (1 = low Z, 4 = high Z)</v>
      </c>
      <c r="U84" s="203" t="str">
        <f t="shared" si="35"/>
        <v>Suggested clamp position (for middle PCB =-3 through 0 to 3)</v>
      </c>
      <c r="V84" s="202" t="str">
        <f t="shared" si="35"/>
        <v>Module</v>
      </c>
      <c r="W84" s="199" t="str">
        <f t="shared" si="35"/>
        <v>Row (1 = low Z, 4 = high Z)</v>
      </c>
      <c r="X84" s="200" t="str">
        <f t="shared" si="35"/>
        <v>Suggested clamp position (for RH PCB = 3 to 8, all but blue = 3 to 7)</v>
      </c>
      <c r="Y84"/>
      <c r="Z84" s="309" t="s">
        <v>211</v>
      </c>
      <c r="AA84" s="310" t="s">
        <v>212</v>
      </c>
      <c r="AB84" s="311" t="s">
        <v>199</v>
      </c>
      <c r="AD84" s="134" t="s">
        <v>231</v>
      </c>
    </row>
    <row r="85" spans="1:29" ht="13.5" thickTop="1">
      <c r="A85" s="125">
        <f>'Tape lengths'!D85</f>
        <v>1</v>
      </c>
      <c r="B85" s="139" t="str">
        <f>'Tape lengths'!F85</f>
        <v>O10/011/013</v>
      </c>
      <c r="C85" s="155" t="str">
        <f>C2</f>
        <v>144/144/144</v>
      </c>
      <c r="D85" s="139">
        <v>25</v>
      </c>
      <c r="E85" s="139">
        <v>62.5</v>
      </c>
      <c r="F85" s="146">
        <v>2</v>
      </c>
      <c r="G85" s="302">
        <v>43.5</v>
      </c>
      <c r="H85" s="160" t="str">
        <f aca="true" t="shared" si="36" ref="H85:H107">IF((MID(B85,1,3))="___","None",(MID(B85,1,3))&amp;" =")</f>
        <v>O10 =</v>
      </c>
      <c r="I85" s="161">
        <f>IF((MID(B85,1,3))="___","None",(MID(C85,1,3))+D85+E85+F85+G85)</f>
        <v>277</v>
      </c>
      <c r="J85" s="160" t="str">
        <f aca="true" t="shared" si="37" ref="J85:J107">IF((MID(B85,5,3))="___","None",(MID(B85,5,3))&amp;" =")</f>
        <v>011 =</v>
      </c>
      <c r="K85" s="161">
        <f>IF((MID(B85,5,3))="___","None",(MID(C85,5,3))+D85+E85+F85+G85)</f>
        <v>277</v>
      </c>
      <c r="L85" s="160" t="str">
        <f aca="true" t="shared" si="38" ref="L85:L107">IF((MID(B85,9,3))="___","None",(MID(B85,9,3))&amp;" =")</f>
        <v>013 =</v>
      </c>
      <c r="M85" s="162">
        <f>IF((MID(B85,9,3))="___","None",(MID(C85,9,3))+D85+E85+F85+G85)</f>
        <v>277</v>
      </c>
      <c r="O85" s="230">
        <v>1</v>
      </c>
      <c r="P85" s="227" t="str">
        <f aca="true" t="shared" si="39" ref="P85:P107">IF((MID(B85,1,3))="___","",(MID(B85,1,3))&amp;" =")</f>
        <v>O10 =</v>
      </c>
      <c r="Q85" s="206">
        <v>1</v>
      </c>
      <c r="R85" s="207">
        <v>-3</v>
      </c>
      <c r="S85" s="208" t="str">
        <f aca="true" t="shared" si="40" ref="S85:S107">IF((MID(B85,5,3))="___","",(MID(B85,5,3))&amp;" =")</f>
        <v>011 =</v>
      </c>
      <c r="T85" s="206">
        <v>1</v>
      </c>
      <c r="U85" s="209">
        <v>0</v>
      </c>
      <c r="V85" s="208" t="str">
        <f aca="true" t="shared" si="41" ref="V85:V107">IF((MID(B85,9,3))="___","",(MID(B85,9,3))&amp;" =")</f>
        <v>013 =</v>
      </c>
      <c r="W85" s="206">
        <v>1</v>
      </c>
      <c r="X85" s="210">
        <v>3</v>
      </c>
      <c r="Z85" s="312">
        <v>188.5</v>
      </c>
      <c r="AA85" s="295">
        <v>1</v>
      </c>
      <c r="AB85" s="313">
        <v>3</v>
      </c>
      <c r="AC85">
        <v>3</v>
      </c>
    </row>
    <row r="86" spans="1:29" ht="13.5" thickBot="1">
      <c r="A86" s="140">
        <f>'Tape lengths'!D86</f>
        <v>1</v>
      </c>
      <c r="B86" s="6" t="str">
        <f>'Tape lengths'!F86</f>
        <v>_M9/O12/M10</v>
      </c>
      <c r="C86" s="156" t="str">
        <f aca="true" t="shared" si="42" ref="C86:C107">C3</f>
        <v>144/144/144</v>
      </c>
      <c r="D86" s="6">
        <v>25</v>
      </c>
      <c r="E86" s="6">
        <v>106.5</v>
      </c>
      <c r="F86" s="30">
        <v>2</v>
      </c>
      <c r="G86" s="303">
        <v>43.5</v>
      </c>
      <c r="H86" s="163" t="str">
        <f t="shared" si="36"/>
        <v>_M9 =</v>
      </c>
      <c r="I86" s="164">
        <f>IF((MID(B86,1,3))="___","None",(MID(C86,1,3))+D86+E86+F86+G86)</f>
        <v>321</v>
      </c>
      <c r="J86" s="163" t="str">
        <f t="shared" si="37"/>
        <v>O12 =</v>
      </c>
      <c r="K86" s="164">
        <f>IF((MID(B86,5,3))="___","None",(MID(C86,5,3))+D86+E86+F86+G86)</f>
        <v>321</v>
      </c>
      <c r="L86" s="163" t="str">
        <f t="shared" si="38"/>
        <v>M10 =</v>
      </c>
      <c r="M86" s="165">
        <f>IF((MID(B86,9,3))="___","None",(MID(C86,9,3))+D86+E86+F86+G86)</f>
        <v>321</v>
      </c>
      <c r="O86" s="237">
        <v>1</v>
      </c>
      <c r="P86" s="238" t="str">
        <f t="shared" si="39"/>
        <v>_M9 =</v>
      </c>
      <c r="Q86" s="239">
        <v>1</v>
      </c>
      <c r="R86" s="240">
        <v>-4</v>
      </c>
      <c r="S86" s="241" t="str">
        <f t="shared" si="40"/>
        <v>O12 =</v>
      </c>
      <c r="T86" s="239">
        <v>1</v>
      </c>
      <c r="U86" s="242">
        <v>-1</v>
      </c>
      <c r="V86" s="241" t="str">
        <f t="shared" si="41"/>
        <v>M10 =</v>
      </c>
      <c r="W86" s="239">
        <v>1</v>
      </c>
      <c r="X86" s="243">
        <v>4</v>
      </c>
      <c r="Z86" s="314">
        <v>195.5</v>
      </c>
      <c r="AA86" s="295" t="s">
        <v>213</v>
      </c>
      <c r="AB86" s="313"/>
      <c r="AC86">
        <v>3</v>
      </c>
    </row>
    <row r="87" spans="1:29" ht="12.75">
      <c r="A87" s="145">
        <f>'Tape lengths'!D87</f>
        <v>2</v>
      </c>
      <c r="B87" s="3" t="str">
        <f>'Tape lengths'!F87</f>
        <v>_I8/_I9/013</v>
      </c>
      <c r="C87" s="157" t="str">
        <f t="shared" si="42"/>
        <v>143/143/143</v>
      </c>
      <c r="D87" s="3">
        <v>25</v>
      </c>
      <c r="E87" s="3">
        <v>18.5</v>
      </c>
      <c r="F87" s="147">
        <v>2</v>
      </c>
      <c r="G87" s="304"/>
      <c r="H87" s="166" t="str">
        <f t="shared" si="36"/>
        <v>_I8 =</v>
      </c>
      <c r="I87" s="167">
        <f aca="true" t="shared" si="43" ref="I87:I107">IF((MID(B87,1,3))="___","None",(MID(C87,1,3))+D87+E87+F87)</f>
        <v>188.5</v>
      </c>
      <c r="J87" s="166" t="str">
        <f t="shared" si="37"/>
        <v>_I9 =</v>
      </c>
      <c r="K87" s="167">
        <f aca="true" t="shared" si="44" ref="K87:K107">IF((MID(B87,5,3))="___","None",(MID(C87,5,3))+D87+E87+F87)</f>
        <v>188.5</v>
      </c>
      <c r="L87" s="166" t="str">
        <f t="shared" si="38"/>
        <v>013 =</v>
      </c>
      <c r="M87" s="168">
        <f aca="true" t="shared" si="45" ref="M87:M107">IF((MID(B87,9,3))="___","None",(MID(C87,9,3))+D87+E87+F87)</f>
        <v>188.5</v>
      </c>
      <c r="O87" s="232">
        <v>2</v>
      </c>
      <c r="P87" s="233" t="str">
        <f t="shared" si="39"/>
        <v>_I8 =</v>
      </c>
      <c r="Q87" s="204">
        <v>1</v>
      </c>
      <c r="R87" s="205">
        <v>-5</v>
      </c>
      <c r="S87" s="234" t="str">
        <f t="shared" si="40"/>
        <v>_I9 =</v>
      </c>
      <c r="T87" s="204">
        <v>1</v>
      </c>
      <c r="U87" s="235">
        <v>1</v>
      </c>
      <c r="V87" s="234" t="str">
        <f t="shared" si="41"/>
        <v>013 =</v>
      </c>
      <c r="W87" s="204">
        <v>1</v>
      </c>
      <c r="X87" s="236">
        <v>5</v>
      </c>
      <c r="Z87" s="315">
        <v>198.5</v>
      </c>
      <c r="AA87" s="295">
        <v>2</v>
      </c>
      <c r="AB87" s="313">
        <v>6</v>
      </c>
      <c r="AC87">
        <v>3</v>
      </c>
    </row>
    <row r="88" spans="1:29" ht="12.75">
      <c r="A88" s="140">
        <f>'Tape lengths'!D88</f>
        <v>2</v>
      </c>
      <c r="B88" s="6" t="str">
        <f>'Tape lengths'!F88</f>
        <v>_M9/O12/M10</v>
      </c>
      <c r="C88" s="156" t="str">
        <f t="shared" si="42"/>
        <v>143/143/143</v>
      </c>
      <c r="D88" s="6">
        <v>25</v>
      </c>
      <c r="E88" s="6">
        <v>62.5</v>
      </c>
      <c r="F88" s="30">
        <v>2</v>
      </c>
      <c r="G88" s="305"/>
      <c r="H88" s="163" t="str">
        <f t="shared" si="36"/>
        <v>_M9 =</v>
      </c>
      <c r="I88" s="164">
        <f t="shared" si="43"/>
        <v>232.5</v>
      </c>
      <c r="J88" s="163" t="str">
        <f t="shared" si="37"/>
        <v>O12 =</v>
      </c>
      <c r="K88" s="164">
        <f t="shared" si="44"/>
        <v>232.5</v>
      </c>
      <c r="L88" s="163" t="str">
        <f t="shared" si="38"/>
        <v>M10 =</v>
      </c>
      <c r="M88" s="165">
        <f t="shared" si="45"/>
        <v>232.5</v>
      </c>
      <c r="O88" s="230">
        <v>2</v>
      </c>
      <c r="P88" s="227" t="str">
        <f t="shared" si="39"/>
        <v>_M9 =</v>
      </c>
      <c r="Q88" s="206">
        <v>1</v>
      </c>
      <c r="R88" s="207">
        <v>-6</v>
      </c>
      <c r="S88" s="208" t="str">
        <f t="shared" si="40"/>
        <v>O12 =</v>
      </c>
      <c r="T88" s="206">
        <v>1</v>
      </c>
      <c r="U88" s="209">
        <v>-2</v>
      </c>
      <c r="V88" s="208" t="str">
        <f t="shared" si="41"/>
        <v>M10 =</v>
      </c>
      <c r="W88" s="206">
        <v>1</v>
      </c>
      <c r="X88" s="210">
        <v>6</v>
      </c>
      <c r="Z88" s="312">
        <v>207.5</v>
      </c>
      <c r="AA88" s="295">
        <v>3</v>
      </c>
      <c r="AB88" s="313">
        <v>3</v>
      </c>
      <c r="AC88">
        <v>3</v>
      </c>
    </row>
    <row r="89" spans="1:29" ht="13.5" thickBot="1">
      <c r="A89" s="140">
        <f>'Tape lengths'!D89</f>
        <v>2</v>
      </c>
      <c r="B89" s="6" t="str">
        <f>'Tape lengths'!F89</f>
        <v>O10/O11/I10</v>
      </c>
      <c r="C89" s="156" t="str">
        <f t="shared" si="42"/>
        <v>143/143/143</v>
      </c>
      <c r="D89" s="6">
        <v>25</v>
      </c>
      <c r="E89" s="6">
        <v>106.5</v>
      </c>
      <c r="F89" s="30">
        <v>2</v>
      </c>
      <c r="G89" s="305"/>
      <c r="H89" s="163" t="str">
        <f t="shared" si="36"/>
        <v>O10 =</v>
      </c>
      <c r="I89" s="164">
        <f t="shared" si="43"/>
        <v>276.5</v>
      </c>
      <c r="J89" s="163" t="str">
        <f t="shared" si="37"/>
        <v>O11 =</v>
      </c>
      <c r="K89" s="164">
        <f t="shared" si="44"/>
        <v>276.5</v>
      </c>
      <c r="L89" s="163" t="str">
        <f t="shared" si="38"/>
        <v>I10 =</v>
      </c>
      <c r="M89" s="165">
        <f t="shared" si="45"/>
        <v>276.5</v>
      </c>
      <c r="O89" s="237">
        <v>2</v>
      </c>
      <c r="P89" s="238" t="str">
        <f t="shared" si="39"/>
        <v>O10 =</v>
      </c>
      <c r="Q89" s="239">
        <v>1</v>
      </c>
      <c r="R89" s="240">
        <v>-7</v>
      </c>
      <c r="S89" s="241" t="str">
        <f t="shared" si="40"/>
        <v>O11 =</v>
      </c>
      <c r="T89" s="239">
        <v>1</v>
      </c>
      <c r="U89" s="242">
        <v>2</v>
      </c>
      <c r="V89" s="241" t="str">
        <f t="shared" si="41"/>
        <v>I10 =</v>
      </c>
      <c r="W89" s="239">
        <v>1</v>
      </c>
      <c r="X89" s="243">
        <v>7</v>
      </c>
      <c r="Z89" s="312">
        <v>213.5</v>
      </c>
      <c r="AA89" s="295">
        <v>4</v>
      </c>
      <c r="AB89" s="313">
        <v>3</v>
      </c>
      <c r="AC89">
        <v>3</v>
      </c>
    </row>
    <row r="90" spans="1:29" ht="12.75">
      <c r="A90" s="145">
        <f>'Tape lengths'!D90</f>
        <v>3</v>
      </c>
      <c r="B90" s="3" t="str">
        <f>'Tape lengths'!F90</f>
        <v>_I8/_I9/013</v>
      </c>
      <c r="C90" s="157" t="str">
        <f t="shared" si="42"/>
        <v>150/150/150</v>
      </c>
      <c r="D90" s="3">
        <v>25</v>
      </c>
      <c r="E90" s="3">
        <v>18.5</v>
      </c>
      <c r="F90" s="147">
        <v>2</v>
      </c>
      <c r="G90" s="304"/>
      <c r="H90" s="169" t="str">
        <f t="shared" si="36"/>
        <v>_I8 =</v>
      </c>
      <c r="I90" s="170">
        <f t="shared" si="43"/>
        <v>195.5</v>
      </c>
      <c r="J90" s="169" t="str">
        <f t="shared" si="37"/>
        <v>_I9 =</v>
      </c>
      <c r="K90" s="170">
        <f t="shared" si="44"/>
        <v>195.5</v>
      </c>
      <c r="L90" s="169" t="str">
        <f t="shared" si="38"/>
        <v>013 =</v>
      </c>
      <c r="M90" s="171">
        <f t="shared" si="45"/>
        <v>195.5</v>
      </c>
      <c r="O90" s="230">
        <v>3</v>
      </c>
      <c r="P90" s="244" t="str">
        <f t="shared" si="39"/>
        <v>_I8 =</v>
      </c>
      <c r="Q90" s="152">
        <v>2</v>
      </c>
      <c r="R90" s="245">
        <v>-3</v>
      </c>
      <c r="S90" s="246" t="str">
        <f t="shared" si="40"/>
        <v>_I9 =</v>
      </c>
      <c r="T90" s="152">
        <v>2</v>
      </c>
      <c r="U90" s="247">
        <v>0</v>
      </c>
      <c r="V90" s="246" t="str">
        <f t="shared" si="41"/>
        <v>013 =</v>
      </c>
      <c r="W90" s="152">
        <v>2</v>
      </c>
      <c r="X90" s="248">
        <v>3</v>
      </c>
      <c r="Z90" s="312">
        <v>223.5</v>
      </c>
      <c r="AA90" s="295">
        <v>5</v>
      </c>
      <c r="AB90" s="313">
        <v>3</v>
      </c>
      <c r="AC90">
        <v>3</v>
      </c>
    </row>
    <row r="91" spans="1:29" ht="12.75">
      <c r="A91" s="140">
        <f>'Tape lengths'!D91</f>
        <v>3</v>
      </c>
      <c r="B91" s="6" t="str">
        <f>'Tape lengths'!F91</f>
        <v>_M9/O12/M10</v>
      </c>
      <c r="C91" s="156" t="str">
        <f t="shared" si="42"/>
        <v>150/150/150</v>
      </c>
      <c r="D91" s="6">
        <v>25</v>
      </c>
      <c r="E91" s="6">
        <v>62.5</v>
      </c>
      <c r="F91" s="30">
        <v>2</v>
      </c>
      <c r="G91" s="305"/>
      <c r="H91" s="172" t="str">
        <f t="shared" si="36"/>
        <v>_M9 =</v>
      </c>
      <c r="I91" s="173">
        <f t="shared" si="43"/>
        <v>239.5</v>
      </c>
      <c r="J91" s="172" t="str">
        <f t="shared" si="37"/>
        <v>O12 =</v>
      </c>
      <c r="K91" s="173">
        <f t="shared" si="44"/>
        <v>239.5</v>
      </c>
      <c r="L91" s="172" t="str">
        <f t="shared" si="38"/>
        <v>M10 =</v>
      </c>
      <c r="M91" s="174">
        <f t="shared" si="45"/>
        <v>239.5</v>
      </c>
      <c r="O91" s="230">
        <v>3</v>
      </c>
      <c r="P91" s="211" t="str">
        <f t="shared" si="39"/>
        <v>_M9 =</v>
      </c>
      <c r="Q91" s="153">
        <v>2</v>
      </c>
      <c r="R91" s="212">
        <v>-4</v>
      </c>
      <c r="S91" s="213" t="str">
        <f t="shared" si="40"/>
        <v>O12 =</v>
      </c>
      <c r="T91" s="153">
        <v>2</v>
      </c>
      <c r="U91" s="214">
        <v>-1</v>
      </c>
      <c r="V91" s="213" t="str">
        <f t="shared" si="41"/>
        <v>M10 =</v>
      </c>
      <c r="W91" s="153">
        <v>2</v>
      </c>
      <c r="X91" s="215">
        <v>4</v>
      </c>
      <c r="Z91" s="314">
        <v>232.5</v>
      </c>
      <c r="AA91" s="295" t="s">
        <v>213</v>
      </c>
      <c r="AB91" s="313"/>
      <c r="AC91">
        <v>3</v>
      </c>
    </row>
    <row r="92" spans="1:29" ht="13.5" thickBot="1">
      <c r="A92" s="140">
        <f>'Tape lengths'!D92</f>
        <v>3</v>
      </c>
      <c r="B92" s="6" t="str">
        <f>'Tape lengths'!F92</f>
        <v>O10/O11/I10</v>
      </c>
      <c r="C92" s="156" t="str">
        <f t="shared" si="42"/>
        <v>150/150/150</v>
      </c>
      <c r="D92" s="6">
        <v>25</v>
      </c>
      <c r="E92" s="6">
        <v>106.5</v>
      </c>
      <c r="F92" s="30">
        <v>2</v>
      </c>
      <c r="G92" s="305"/>
      <c r="H92" s="172" t="str">
        <f t="shared" si="36"/>
        <v>O10 =</v>
      </c>
      <c r="I92" s="173">
        <f t="shared" si="43"/>
        <v>283.5</v>
      </c>
      <c r="J92" s="172" t="str">
        <f t="shared" si="37"/>
        <v>O11 =</v>
      </c>
      <c r="K92" s="173">
        <f t="shared" si="44"/>
        <v>283.5</v>
      </c>
      <c r="L92" s="172" t="str">
        <f t="shared" si="38"/>
        <v>I10 =</v>
      </c>
      <c r="M92" s="174">
        <f t="shared" si="45"/>
        <v>283.5</v>
      </c>
      <c r="O92" s="237">
        <v>3</v>
      </c>
      <c r="P92" s="249" t="str">
        <f t="shared" si="39"/>
        <v>O10 =</v>
      </c>
      <c r="Q92" s="250">
        <v>2</v>
      </c>
      <c r="R92" s="251">
        <v>-5</v>
      </c>
      <c r="S92" s="252" t="str">
        <f t="shared" si="40"/>
        <v>O11 =</v>
      </c>
      <c r="T92" s="250">
        <v>2</v>
      </c>
      <c r="U92" s="253">
        <v>1</v>
      </c>
      <c r="V92" s="252" t="str">
        <f t="shared" si="41"/>
        <v>I10 =</v>
      </c>
      <c r="W92" s="250">
        <v>2</v>
      </c>
      <c r="X92" s="254">
        <v>5</v>
      </c>
      <c r="Z92" s="315">
        <v>232.5</v>
      </c>
      <c r="AA92" s="295">
        <v>6</v>
      </c>
      <c r="AB92" s="313">
        <v>6</v>
      </c>
      <c r="AC92">
        <v>3</v>
      </c>
    </row>
    <row r="93" spans="1:29" ht="12.75">
      <c r="A93" s="145">
        <f>'Tape lengths'!D93</f>
        <v>4</v>
      </c>
      <c r="B93" s="3" t="str">
        <f>'Tape lengths'!F93</f>
        <v>_I8/_I9/013</v>
      </c>
      <c r="C93" s="157" t="str">
        <f t="shared" si="42"/>
        <v>153/153/153</v>
      </c>
      <c r="D93" s="3">
        <v>25</v>
      </c>
      <c r="E93" s="3">
        <v>18.5</v>
      </c>
      <c r="F93" s="147">
        <v>2</v>
      </c>
      <c r="G93" s="304"/>
      <c r="H93" s="169" t="str">
        <f t="shared" si="36"/>
        <v>_I8 =</v>
      </c>
      <c r="I93" s="170">
        <f t="shared" si="43"/>
        <v>198.5</v>
      </c>
      <c r="J93" s="169" t="str">
        <f t="shared" si="37"/>
        <v>_I9 =</v>
      </c>
      <c r="K93" s="170">
        <f t="shared" si="44"/>
        <v>198.5</v>
      </c>
      <c r="L93" s="169" t="str">
        <f t="shared" si="38"/>
        <v>013 =</v>
      </c>
      <c r="M93" s="171">
        <f t="shared" si="45"/>
        <v>198.5</v>
      </c>
      <c r="O93" s="230">
        <v>4</v>
      </c>
      <c r="P93" s="244" t="str">
        <f t="shared" si="39"/>
        <v>_I8 =</v>
      </c>
      <c r="Q93" s="152">
        <v>2</v>
      </c>
      <c r="R93" s="245">
        <v>-6</v>
      </c>
      <c r="S93" s="246" t="str">
        <f t="shared" si="40"/>
        <v>_I9 =</v>
      </c>
      <c r="T93" s="152">
        <v>2</v>
      </c>
      <c r="U93" s="247">
        <v>-2</v>
      </c>
      <c r="V93" s="246" t="str">
        <f t="shared" si="41"/>
        <v>013 =</v>
      </c>
      <c r="W93" s="152">
        <v>2</v>
      </c>
      <c r="X93" s="248">
        <v>6</v>
      </c>
      <c r="Z93" s="312">
        <v>239.5</v>
      </c>
      <c r="AA93" s="295">
        <v>7</v>
      </c>
      <c r="AB93" s="313">
        <v>3</v>
      </c>
      <c r="AC93">
        <v>3</v>
      </c>
    </row>
    <row r="94" spans="1:29" ht="12.75">
      <c r="A94" s="140">
        <f>'Tape lengths'!D94</f>
        <v>4</v>
      </c>
      <c r="B94" s="6" t="str">
        <f>'Tape lengths'!F94</f>
        <v>_M9/O12/M10</v>
      </c>
      <c r="C94" s="156" t="str">
        <f t="shared" si="42"/>
        <v>153/153/153</v>
      </c>
      <c r="D94" s="6">
        <v>25</v>
      </c>
      <c r="E94" s="6">
        <v>62.5</v>
      </c>
      <c r="F94" s="30">
        <v>2</v>
      </c>
      <c r="G94" s="305"/>
      <c r="H94" s="172" t="str">
        <f t="shared" si="36"/>
        <v>_M9 =</v>
      </c>
      <c r="I94" s="173">
        <f t="shared" si="43"/>
        <v>242.5</v>
      </c>
      <c r="J94" s="172" t="str">
        <f t="shared" si="37"/>
        <v>O12 =</v>
      </c>
      <c r="K94" s="173">
        <f t="shared" si="44"/>
        <v>242.5</v>
      </c>
      <c r="L94" s="172" t="str">
        <f t="shared" si="38"/>
        <v>M10 =</v>
      </c>
      <c r="M94" s="174">
        <f t="shared" si="45"/>
        <v>242.5</v>
      </c>
      <c r="O94" s="230">
        <v>4</v>
      </c>
      <c r="P94" s="211" t="str">
        <f t="shared" si="39"/>
        <v>_M9 =</v>
      </c>
      <c r="Q94" s="153">
        <v>2</v>
      </c>
      <c r="R94" s="212">
        <v>-7</v>
      </c>
      <c r="S94" s="213" t="str">
        <f t="shared" si="40"/>
        <v>O12 =</v>
      </c>
      <c r="T94" s="153">
        <v>2</v>
      </c>
      <c r="U94" s="214">
        <v>2</v>
      </c>
      <c r="V94" s="213" t="str">
        <f t="shared" si="41"/>
        <v>M10 =</v>
      </c>
      <c r="W94" s="153">
        <v>2</v>
      </c>
      <c r="X94" s="215">
        <v>7</v>
      </c>
      <c r="Z94" s="314">
        <v>242.5</v>
      </c>
      <c r="AA94" s="295" t="s">
        <v>213</v>
      </c>
      <c r="AB94" s="313"/>
      <c r="AC94">
        <v>3</v>
      </c>
    </row>
    <row r="95" spans="1:29" ht="13.5" thickBot="1">
      <c r="A95" s="140">
        <f>'Tape lengths'!D95</f>
        <v>4</v>
      </c>
      <c r="B95" s="6" t="str">
        <f>'Tape lengths'!F95</f>
        <v>O10/O11/I10</v>
      </c>
      <c r="C95" s="156" t="str">
        <f t="shared" si="42"/>
        <v>153/158/153</v>
      </c>
      <c r="D95" s="6">
        <v>25</v>
      </c>
      <c r="E95" s="6">
        <v>106.5</v>
      </c>
      <c r="F95" s="30">
        <v>2</v>
      </c>
      <c r="G95" s="305"/>
      <c r="H95" s="172" t="str">
        <f t="shared" si="36"/>
        <v>O10 =</v>
      </c>
      <c r="I95" s="173">
        <f t="shared" si="43"/>
        <v>286.5</v>
      </c>
      <c r="J95" s="175" t="str">
        <f t="shared" si="37"/>
        <v>O11 =</v>
      </c>
      <c r="K95" s="176">
        <f t="shared" si="44"/>
        <v>291.5</v>
      </c>
      <c r="L95" s="172" t="str">
        <f t="shared" si="38"/>
        <v>I10 =</v>
      </c>
      <c r="M95" s="174">
        <f t="shared" si="45"/>
        <v>286.5</v>
      </c>
      <c r="O95" s="237">
        <v>4</v>
      </c>
      <c r="P95" s="249" t="str">
        <f t="shared" si="39"/>
        <v>O10 =</v>
      </c>
      <c r="Q95" s="250">
        <v>2</v>
      </c>
      <c r="R95" s="251">
        <v>-8</v>
      </c>
      <c r="S95" s="255" t="str">
        <f t="shared" si="40"/>
        <v>O11 =</v>
      </c>
      <c r="T95" s="256">
        <v>3</v>
      </c>
      <c r="U95" s="257">
        <v>0</v>
      </c>
      <c r="V95" s="252" t="str">
        <f t="shared" si="41"/>
        <v>I10 =</v>
      </c>
      <c r="W95" s="250">
        <v>2</v>
      </c>
      <c r="X95" s="254">
        <v>8</v>
      </c>
      <c r="Z95" s="315">
        <v>242.5</v>
      </c>
      <c r="AA95" s="295">
        <v>8</v>
      </c>
      <c r="AB95" s="313">
        <v>4</v>
      </c>
      <c r="AC95">
        <v>1</v>
      </c>
    </row>
    <row r="96" spans="1:29" ht="12.75">
      <c r="A96" s="145">
        <f>'Tape lengths'!D96</f>
        <v>5</v>
      </c>
      <c r="B96" s="3" t="str">
        <f>'Tape lengths'!F96</f>
        <v>_I8/_I9/013</v>
      </c>
      <c r="C96" s="157" t="str">
        <f t="shared" si="42"/>
        <v>162/162/162</v>
      </c>
      <c r="D96" s="3">
        <v>25</v>
      </c>
      <c r="E96" s="3">
        <v>18.5</v>
      </c>
      <c r="F96" s="147">
        <v>2</v>
      </c>
      <c r="G96" s="304"/>
      <c r="H96" s="177" t="str">
        <f t="shared" si="36"/>
        <v>_I8 =</v>
      </c>
      <c r="I96" s="178">
        <f t="shared" si="43"/>
        <v>207.5</v>
      </c>
      <c r="J96" s="177" t="str">
        <f t="shared" si="37"/>
        <v>_I9 =</v>
      </c>
      <c r="K96" s="178">
        <f t="shared" si="44"/>
        <v>207.5</v>
      </c>
      <c r="L96" s="177" t="str">
        <f t="shared" si="38"/>
        <v>013 =</v>
      </c>
      <c r="M96" s="179">
        <f t="shared" si="45"/>
        <v>207.5</v>
      </c>
      <c r="O96" s="230">
        <v>5</v>
      </c>
      <c r="P96" s="258" t="str">
        <f t="shared" si="39"/>
        <v>_I8 =</v>
      </c>
      <c r="Q96" s="259">
        <v>3</v>
      </c>
      <c r="R96" s="260">
        <v>-5</v>
      </c>
      <c r="S96" s="261" t="str">
        <f t="shared" si="40"/>
        <v>_I9 =</v>
      </c>
      <c r="T96" s="259">
        <v>3</v>
      </c>
      <c r="U96" s="262">
        <v>-1</v>
      </c>
      <c r="V96" s="261" t="str">
        <f t="shared" si="41"/>
        <v>013 =</v>
      </c>
      <c r="W96" s="259">
        <v>3</v>
      </c>
      <c r="X96" s="263">
        <v>4</v>
      </c>
      <c r="Z96" s="312">
        <v>251.5</v>
      </c>
      <c r="AA96" s="295">
        <v>9</v>
      </c>
      <c r="AB96" s="313">
        <v>3</v>
      </c>
      <c r="AC96">
        <v>3</v>
      </c>
    </row>
    <row r="97" spans="1:29" ht="12.75">
      <c r="A97" s="140">
        <f>'Tape lengths'!D97</f>
        <v>5</v>
      </c>
      <c r="B97" s="6" t="str">
        <f>'Tape lengths'!F97</f>
        <v>_M9/O12/M10</v>
      </c>
      <c r="C97" s="156" t="str">
        <f t="shared" si="42"/>
        <v>162/162/162</v>
      </c>
      <c r="D97" s="6">
        <v>25</v>
      </c>
      <c r="E97" s="6">
        <v>62.5</v>
      </c>
      <c r="F97" s="30">
        <v>2</v>
      </c>
      <c r="G97" s="305"/>
      <c r="H97" s="175" t="str">
        <f t="shared" si="36"/>
        <v>_M9 =</v>
      </c>
      <c r="I97" s="176">
        <f t="shared" si="43"/>
        <v>251.5</v>
      </c>
      <c r="J97" s="175" t="str">
        <f t="shared" si="37"/>
        <v>O12 =</v>
      </c>
      <c r="K97" s="176">
        <f t="shared" si="44"/>
        <v>251.5</v>
      </c>
      <c r="L97" s="175" t="str">
        <f t="shared" si="38"/>
        <v>M10 =</v>
      </c>
      <c r="M97" s="180">
        <f t="shared" si="45"/>
        <v>251.5</v>
      </c>
      <c r="O97" s="230">
        <v>5</v>
      </c>
      <c r="P97" s="216" t="str">
        <f t="shared" si="39"/>
        <v>_M9 =</v>
      </c>
      <c r="Q97" s="217">
        <v>3</v>
      </c>
      <c r="R97" s="218">
        <v>-5</v>
      </c>
      <c r="S97" s="219" t="str">
        <f t="shared" si="40"/>
        <v>O12 =</v>
      </c>
      <c r="T97" s="217">
        <v>3</v>
      </c>
      <c r="U97" s="220">
        <v>1</v>
      </c>
      <c r="V97" s="219" t="str">
        <f t="shared" si="41"/>
        <v>M10 =</v>
      </c>
      <c r="W97" s="217">
        <v>3</v>
      </c>
      <c r="X97" s="221">
        <v>5</v>
      </c>
      <c r="Z97" s="312">
        <v>257.5</v>
      </c>
      <c r="AA97" s="295">
        <v>10</v>
      </c>
      <c r="AB97" s="313">
        <v>3</v>
      </c>
      <c r="AC97">
        <v>3</v>
      </c>
    </row>
    <row r="98" spans="1:29" ht="13.5" thickBot="1">
      <c r="A98" s="140">
        <f>'Tape lengths'!D98</f>
        <v>5</v>
      </c>
      <c r="B98" s="6" t="str">
        <f>'Tape lengths'!F98</f>
        <v>O10/O11/I10</v>
      </c>
      <c r="C98" s="156" t="str">
        <f t="shared" si="42"/>
        <v>162/162/162</v>
      </c>
      <c r="D98" s="6">
        <v>25</v>
      </c>
      <c r="E98" s="6">
        <v>106.5</v>
      </c>
      <c r="F98" s="30">
        <v>2</v>
      </c>
      <c r="G98" s="305"/>
      <c r="H98" s="175" t="str">
        <f t="shared" si="36"/>
        <v>O10 =</v>
      </c>
      <c r="I98" s="176">
        <f t="shared" si="43"/>
        <v>295.5</v>
      </c>
      <c r="J98" s="175" t="str">
        <f t="shared" si="37"/>
        <v>O11 =</v>
      </c>
      <c r="K98" s="176">
        <f t="shared" si="44"/>
        <v>295.5</v>
      </c>
      <c r="L98" s="175" t="str">
        <f t="shared" si="38"/>
        <v>I10 =</v>
      </c>
      <c r="M98" s="180">
        <f t="shared" si="45"/>
        <v>295.5</v>
      </c>
      <c r="O98" s="237">
        <v>5</v>
      </c>
      <c r="P98" s="264" t="str">
        <f t="shared" si="39"/>
        <v>O10 =</v>
      </c>
      <c r="Q98" s="256">
        <v>3</v>
      </c>
      <c r="R98" s="265">
        <v>-6</v>
      </c>
      <c r="S98" s="255" t="str">
        <f t="shared" si="40"/>
        <v>O11 =</v>
      </c>
      <c r="T98" s="256">
        <v>3</v>
      </c>
      <c r="U98" s="257">
        <v>-2</v>
      </c>
      <c r="V98" s="255" t="str">
        <f t="shared" si="41"/>
        <v>I10 =</v>
      </c>
      <c r="W98" s="256">
        <v>3</v>
      </c>
      <c r="X98" s="266">
        <v>6</v>
      </c>
      <c r="Z98" s="312">
        <v>267.5</v>
      </c>
      <c r="AA98" s="295">
        <v>11</v>
      </c>
      <c r="AB98" s="313">
        <v>3</v>
      </c>
      <c r="AC98">
        <v>3</v>
      </c>
    </row>
    <row r="99" spans="1:29" ht="12.75">
      <c r="A99" s="145">
        <f>'Tape lengths'!D99</f>
        <v>6</v>
      </c>
      <c r="B99" s="3" t="str">
        <f>'Tape lengths'!F99</f>
        <v>_I8/_I9/013</v>
      </c>
      <c r="C99" s="157" t="str">
        <f t="shared" si="42"/>
        <v>168/168/168</v>
      </c>
      <c r="D99" s="3">
        <v>25</v>
      </c>
      <c r="E99" s="3">
        <v>18.5</v>
      </c>
      <c r="F99" s="147">
        <v>2</v>
      </c>
      <c r="G99" s="304"/>
      <c r="H99" s="177" t="str">
        <f t="shared" si="36"/>
        <v>_I8 =</v>
      </c>
      <c r="I99" s="178">
        <f t="shared" si="43"/>
        <v>213.5</v>
      </c>
      <c r="J99" s="177" t="str">
        <f t="shared" si="37"/>
        <v>_I9 =</v>
      </c>
      <c r="K99" s="178">
        <f t="shared" si="44"/>
        <v>213.5</v>
      </c>
      <c r="L99" s="177" t="str">
        <f t="shared" si="38"/>
        <v>013 =</v>
      </c>
      <c r="M99" s="179">
        <f t="shared" si="45"/>
        <v>213.5</v>
      </c>
      <c r="O99" s="230">
        <v>6</v>
      </c>
      <c r="P99" s="258" t="str">
        <f t="shared" si="39"/>
        <v>_I8 =</v>
      </c>
      <c r="Q99" s="259">
        <v>3</v>
      </c>
      <c r="R99" s="260">
        <v>-7</v>
      </c>
      <c r="S99" s="261" t="str">
        <f t="shared" si="40"/>
        <v>_I9 =</v>
      </c>
      <c r="T99" s="259">
        <v>3</v>
      </c>
      <c r="U99" s="262">
        <v>2</v>
      </c>
      <c r="V99" s="261" t="str">
        <f t="shared" si="41"/>
        <v>013 =</v>
      </c>
      <c r="W99" s="259">
        <v>3</v>
      </c>
      <c r="X99" s="263">
        <v>7</v>
      </c>
      <c r="Z99" s="314">
        <v>276.5</v>
      </c>
      <c r="AA99" s="295" t="s">
        <v>213</v>
      </c>
      <c r="AB99" s="313"/>
      <c r="AC99">
        <v>3</v>
      </c>
    </row>
    <row r="100" spans="1:29" ht="12.75">
      <c r="A100" s="140">
        <f>'Tape lengths'!D100</f>
        <v>6</v>
      </c>
      <c r="B100" s="6" t="str">
        <f>'Tape lengths'!F100</f>
        <v>_M9/O12/M10</v>
      </c>
      <c r="C100" s="156" t="str">
        <f t="shared" si="42"/>
        <v>168/168/168</v>
      </c>
      <c r="D100" s="6">
        <v>25</v>
      </c>
      <c r="E100" s="6">
        <v>62.5</v>
      </c>
      <c r="F100" s="30">
        <v>2</v>
      </c>
      <c r="G100" s="305"/>
      <c r="H100" s="175" t="str">
        <f t="shared" si="36"/>
        <v>_M9 =</v>
      </c>
      <c r="I100" s="176">
        <f t="shared" si="43"/>
        <v>257.5</v>
      </c>
      <c r="J100" s="175" t="str">
        <f t="shared" si="37"/>
        <v>O12 =</v>
      </c>
      <c r="K100" s="176">
        <f t="shared" si="44"/>
        <v>257.5</v>
      </c>
      <c r="L100" s="175" t="str">
        <f t="shared" si="38"/>
        <v>M10 =</v>
      </c>
      <c r="M100" s="180">
        <f t="shared" si="45"/>
        <v>257.5</v>
      </c>
      <c r="O100" s="230">
        <v>6</v>
      </c>
      <c r="P100" s="216" t="str">
        <f t="shared" si="39"/>
        <v>_M9 =</v>
      </c>
      <c r="Q100" s="217">
        <v>3</v>
      </c>
      <c r="R100" s="218">
        <v>-8</v>
      </c>
      <c r="S100" s="219" t="str">
        <f t="shared" si="40"/>
        <v>O12 =</v>
      </c>
      <c r="T100" s="217">
        <v>3</v>
      </c>
      <c r="U100" s="220">
        <v>-3</v>
      </c>
      <c r="V100" s="219" t="str">
        <f t="shared" si="41"/>
        <v>M10 =</v>
      </c>
      <c r="W100" s="217">
        <v>3</v>
      </c>
      <c r="X100" s="221">
        <v>8</v>
      </c>
      <c r="Z100" s="319">
        <v>276.5</v>
      </c>
      <c r="AA100" s="295" t="s">
        <v>213</v>
      </c>
      <c r="AB100" s="313"/>
      <c r="AC100">
        <v>3</v>
      </c>
    </row>
    <row r="101" spans="1:29" ht="13.5" thickBot="1">
      <c r="A101" s="140">
        <f>'Tape lengths'!D101</f>
        <v>6</v>
      </c>
      <c r="B101" s="6" t="str">
        <f>'Tape lengths'!F101</f>
        <v>O10/O11/I10</v>
      </c>
      <c r="C101" s="156" t="str">
        <f t="shared" si="42"/>
        <v>168/172/168</v>
      </c>
      <c r="D101" s="6">
        <v>25</v>
      </c>
      <c r="E101" s="6">
        <v>106.5</v>
      </c>
      <c r="F101" s="30">
        <v>2</v>
      </c>
      <c r="G101" s="305"/>
      <c r="H101" s="181" t="str">
        <f t="shared" si="36"/>
        <v>O10 =</v>
      </c>
      <c r="I101" s="183">
        <f t="shared" si="43"/>
        <v>301.5</v>
      </c>
      <c r="J101" s="175" t="str">
        <f t="shared" si="37"/>
        <v>O11 =</v>
      </c>
      <c r="K101" s="176">
        <f t="shared" si="44"/>
        <v>305.5</v>
      </c>
      <c r="L101" s="181" t="str">
        <f t="shared" si="38"/>
        <v>I10 =</v>
      </c>
      <c r="M101" s="182">
        <f t="shared" si="45"/>
        <v>301.5</v>
      </c>
      <c r="O101" s="237">
        <v>6</v>
      </c>
      <c r="P101" s="267" t="str">
        <f t="shared" si="39"/>
        <v>O10 =</v>
      </c>
      <c r="Q101" s="268">
        <v>4</v>
      </c>
      <c r="R101" s="269">
        <v>-3</v>
      </c>
      <c r="S101" s="255" t="str">
        <f t="shared" si="40"/>
        <v>O11 =</v>
      </c>
      <c r="T101" s="256">
        <v>3</v>
      </c>
      <c r="U101" s="257">
        <v>3</v>
      </c>
      <c r="V101" s="270" t="str">
        <f t="shared" si="41"/>
        <v>I10 =</v>
      </c>
      <c r="W101" s="268">
        <v>4</v>
      </c>
      <c r="X101" s="271">
        <v>3</v>
      </c>
      <c r="Z101" s="315">
        <v>277</v>
      </c>
      <c r="AA101" s="295">
        <v>12</v>
      </c>
      <c r="AB101" s="313">
        <v>9</v>
      </c>
      <c r="AC101">
        <v>3</v>
      </c>
    </row>
    <row r="102" spans="1:29" ht="12.75">
      <c r="A102" s="145">
        <f>'Tape lengths'!D102</f>
        <v>7</v>
      </c>
      <c r="B102" s="3" t="str">
        <f>'Tape lengths'!F102</f>
        <v>O10/011/013</v>
      </c>
      <c r="C102" s="157" t="str">
        <f t="shared" si="42"/>
        <v>178/178/178</v>
      </c>
      <c r="D102" s="3">
        <v>25</v>
      </c>
      <c r="E102" s="3">
        <v>18.5</v>
      </c>
      <c r="F102" s="147">
        <v>2</v>
      </c>
      <c r="G102" s="304"/>
      <c r="H102" s="184" t="str">
        <f t="shared" si="36"/>
        <v>O10 =</v>
      </c>
      <c r="I102" s="185">
        <f t="shared" si="43"/>
        <v>223.5</v>
      </c>
      <c r="J102" s="184" t="str">
        <f t="shared" si="37"/>
        <v>011 =</v>
      </c>
      <c r="K102" s="185">
        <f t="shared" si="44"/>
        <v>223.5</v>
      </c>
      <c r="L102" s="184" t="str">
        <f t="shared" si="38"/>
        <v>013 =</v>
      </c>
      <c r="M102" s="186">
        <f t="shared" si="45"/>
        <v>223.5</v>
      </c>
      <c r="O102" s="230">
        <v>7</v>
      </c>
      <c r="P102" s="272" t="str">
        <f t="shared" si="39"/>
        <v>O10 =</v>
      </c>
      <c r="Q102" s="151">
        <v>4</v>
      </c>
      <c r="R102" s="273">
        <v>-4</v>
      </c>
      <c r="S102" s="274" t="str">
        <f t="shared" si="40"/>
        <v>011 =</v>
      </c>
      <c r="T102" s="151">
        <v>4</v>
      </c>
      <c r="U102" s="275">
        <v>0</v>
      </c>
      <c r="V102" s="274" t="str">
        <f t="shared" si="41"/>
        <v>013 =</v>
      </c>
      <c r="W102" s="151">
        <v>4</v>
      </c>
      <c r="X102" s="276">
        <v>4</v>
      </c>
      <c r="Z102" s="314">
        <v>283.5</v>
      </c>
      <c r="AA102" s="295" t="s">
        <v>213</v>
      </c>
      <c r="AB102" s="313"/>
      <c r="AC102">
        <v>3</v>
      </c>
    </row>
    <row r="103" spans="1:29" ht="13.5" thickBot="1">
      <c r="A103" s="140">
        <f>'Tape lengths'!D103</f>
        <v>7</v>
      </c>
      <c r="B103" s="6" t="str">
        <f>'Tape lengths'!F103</f>
        <v>_M9/O12/M10</v>
      </c>
      <c r="C103" s="156" t="str">
        <f t="shared" si="42"/>
        <v>178/178/178</v>
      </c>
      <c r="D103" s="6">
        <v>25</v>
      </c>
      <c r="E103" s="6">
        <v>62.5</v>
      </c>
      <c r="F103" s="30">
        <v>2</v>
      </c>
      <c r="G103" s="305"/>
      <c r="H103" s="181" t="str">
        <f t="shared" si="36"/>
        <v>_M9 =</v>
      </c>
      <c r="I103" s="183">
        <f t="shared" si="43"/>
        <v>267.5</v>
      </c>
      <c r="J103" s="181" t="str">
        <f t="shared" si="37"/>
        <v>O12 =</v>
      </c>
      <c r="K103" s="183">
        <f t="shared" si="44"/>
        <v>267.5</v>
      </c>
      <c r="L103" s="181" t="str">
        <f t="shared" si="38"/>
        <v>M10 =</v>
      </c>
      <c r="M103" s="182">
        <f t="shared" si="45"/>
        <v>267.5</v>
      </c>
      <c r="O103" s="237">
        <v>7</v>
      </c>
      <c r="P103" s="267" t="str">
        <f t="shared" si="39"/>
        <v>_M9 =</v>
      </c>
      <c r="Q103" s="268">
        <v>4</v>
      </c>
      <c r="R103" s="269">
        <v>-5</v>
      </c>
      <c r="S103" s="270" t="str">
        <f t="shared" si="40"/>
        <v>O12 =</v>
      </c>
      <c r="T103" s="268">
        <v>4</v>
      </c>
      <c r="U103" s="277">
        <v>-1</v>
      </c>
      <c r="V103" s="270" t="str">
        <f t="shared" si="41"/>
        <v>M10 =</v>
      </c>
      <c r="W103" s="268">
        <v>4</v>
      </c>
      <c r="X103" s="271">
        <v>5</v>
      </c>
      <c r="Z103" s="319">
        <v>286.5</v>
      </c>
      <c r="AA103" s="295" t="s">
        <v>213</v>
      </c>
      <c r="AB103" s="313"/>
      <c r="AC103">
        <v>2</v>
      </c>
    </row>
    <row r="104" spans="1:29" ht="12.75">
      <c r="A104" s="145">
        <f>'Tape lengths'!D104</f>
        <v>8</v>
      </c>
      <c r="B104" s="3" t="str">
        <f>'Tape lengths'!F104</f>
        <v>O10/011/013</v>
      </c>
      <c r="C104" s="157" t="str">
        <f t="shared" si="42"/>
        <v>187/187/187</v>
      </c>
      <c r="D104" s="3">
        <v>25</v>
      </c>
      <c r="E104" s="3">
        <v>18.5</v>
      </c>
      <c r="F104" s="147">
        <v>2</v>
      </c>
      <c r="G104" s="304"/>
      <c r="H104" s="187" t="str">
        <f t="shared" si="36"/>
        <v>O10 =</v>
      </c>
      <c r="I104" s="188">
        <f t="shared" si="43"/>
        <v>232.5</v>
      </c>
      <c r="J104" s="187" t="str">
        <f t="shared" si="37"/>
        <v>011 =</v>
      </c>
      <c r="K104" s="188">
        <f t="shared" si="44"/>
        <v>232.5</v>
      </c>
      <c r="L104" s="187" t="str">
        <f t="shared" si="38"/>
        <v>013 =</v>
      </c>
      <c r="M104" s="189">
        <f t="shared" si="45"/>
        <v>232.5</v>
      </c>
      <c r="O104" s="230">
        <v>8</v>
      </c>
      <c r="P104" s="282" t="str">
        <f t="shared" si="39"/>
        <v>O10 =</v>
      </c>
      <c r="Q104" s="150">
        <v>4</v>
      </c>
      <c r="R104" s="283">
        <v>-6</v>
      </c>
      <c r="S104" s="284" t="str">
        <f t="shared" si="40"/>
        <v>011 =</v>
      </c>
      <c r="T104" s="150">
        <v>4</v>
      </c>
      <c r="U104" s="285">
        <v>1</v>
      </c>
      <c r="V104" s="284" t="str">
        <f t="shared" si="41"/>
        <v>013 =</v>
      </c>
      <c r="W104" s="150">
        <v>4</v>
      </c>
      <c r="X104" s="286">
        <v>6</v>
      </c>
      <c r="Z104" s="315">
        <v>286.5</v>
      </c>
      <c r="AA104" s="295">
        <v>13</v>
      </c>
      <c r="AB104" s="313">
        <v>7</v>
      </c>
      <c r="AC104">
        <v>2</v>
      </c>
    </row>
    <row r="105" spans="1:29" ht="13.5" thickBot="1">
      <c r="A105" s="143">
        <f>'Tape lengths'!D105</f>
        <v>8</v>
      </c>
      <c r="B105" s="144" t="str">
        <f>'Tape lengths'!F105</f>
        <v>_M9/O12/M10</v>
      </c>
      <c r="C105" s="158" t="str">
        <f t="shared" si="42"/>
        <v>187/187/187</v>
      </c>
      <c r="D105" s="144">
        <v>25</v>
      </c>
      <c r="E105" s="6">
        <v>62.5</v>
      </c>
      <c r="F105" s="148">
        <v>2</v>
      </c>
      <c r="G105" s="306"/>
      <c r="H105" s="190" t="str">
        <f t="shared" si="36"/>
        <v>_M9 =</v>
      </c>
      <c r="I105" s="191">
        <f t="shared" si="43"/>
        <v>276.5</v>
      </c>
      <c r="J105" s="190" t="str">
        <f t="shared" si="37"/>
        <v>O12 =</v>
      </c>
      <c r="K105" s="191">
        <f t="shared" si="44"/>
        <v>276.5</v>
      </c>
      <c r="L105" s="190" t="str">
        <f t="shared" si="38"/>
        <v>M10 =</v>
      </c>
      <c r="M105" s="192">
        <f t="shared" si="45"/>
        <v>276.5</v>
      </c>
      <c r="O105" s="237">
        <v>8</v>
      </c>
      <c r="P105" s="287" t="str">
        <f t="shared" si="39"/>
        <v>_M9 =</v>
      </c>
      <c r="Q105" s="288">
        <v>4</v>
      </c>
      <c r="R105" s="289">
        <v>-7</v>
      </c>
      <c r="S105" s="290" t="str">
        <f t="shared" si="40"/>
        <v>O12 =</v>
      </c>
      <c r="T105" s="288">
        <v>4</v>
      </c>
      <c r="U105" s="291">
        <v>-2</v>
      </c>
      <c r="V105" s="290" t="str">
        <f t="shared" si="41"/>
        <v>M10 =</v>
      </c>
      <c r="W105" s="288">
        <v>4</v>
      </c>
      <c r="X105" s="292">
        <v>7</v>
      </c>
      <c r="Z105" s="312">
        <v>291.5</v>
      </c>
      <c r="AA105" s="95">
        <v>14</v>
      </c>
      <c r="AB105" s="313">
        <v>1</v>
      </c>
      <c r="AC105">
        <v>1</v>
      </c>
    </row>
    <row r="106" spans="1:29" ht="12.75">
      <c r="A106" s="145">
        <f>'Tape lengths'!D106</f>
        <v>9</v>
      </c>
      <c r="B106" s="3" t="str">
        <f>'Tape lengths'!F106</f>
        <v>___/_O2/___</v>
      </c>
      <c r="C106" s="157" t="str">
        <f t="shared" si="42"/>
        <v>197/197/197</v>
      </c>
      <c r="D106" s="3">
        <v>25</v>
      </c>
      <c r="E106" s="3">
        <v>18.5</v>
      </c>
      <c r="F106" s="147">
        <v>2</v>
      </c>
      <c r="G106" s="304"/>
      <c r="H106" s="193" t="str">
        <f t="shared" si="36"/>
        <v>None</v>
      </c>
      <c r="I106" s="194" t="str">
        <f t="shared" si="43"/>
        <v>None</v>
      </c>
      <c r="J106" s="193" t="str">
        <f t="shared" si="37"/>
        <v>_O2 =</v>
      </c>
      <c r="K106" s="194">
        <f t="shared" si="44"/>
        <v>242.5</v>
      </c>
      <c r="L106" s="193" t="str">
        <f t="shared" si="38"/>
        <v>None</v>
      </c>
      <c r="M106" s="195" t="str">
        <f t="shared" si="45"/>
        <v>None</v>
      </c>
      <c r="O106" s="230">
        <v>9</v>
      </c>
      <c r="P106" s="278">
        <f t="shared" si="39"/>
      </c>
      <c r="Q106" s="279"/>
      <c r="R106" s="280"/>
      <c r="S106" s="281" t="str">
        <f t="shared" si="40"/>
        <v>_O2 =</v>
      </c>
      <c r="T106" s="279">
        <v>4</v>
      </c>
      <c r="U106" s="280">
        <v>2</v>
      </c>
      <c r="V106" s="281">
        <f t="shared" si="41"/>
      </c>
      <c r="W106" s="279"/>
      <c r="X106" s="294"/>
      <c r="Z106" s="312">
        <v>295.5</v>
      </c>
      <c r="AA106" s="295">
        <v>15</v>
      </c>
      <c r="AB106" s="313">
        <v>3</v>
      </c>
      <c r="AC106">
        <v>3</v>
      </c>
    </row>
    <row r="107" spans="1:29" ht="13.5" thickBot="1">
      <c r="A107" s="141">
        <f>'Tape lengths'!D107</f>
        <v>9</v>
      </c>
      <c r="B107" s="142" t="str">
        <f>'Tape lengths'!F107</f>
        <v>_03/___/_01</v>
      </c>
      <c r="C107" s="159" t="str">
        <f t="shared" si="42"/>
        <v>197/197/197</v>
      </c>
      <c r="D107" s="142">
        <v>25</v>
      </c>
      <c r="E107" s="149">
        <v>62.5</v>
      </c>
      <c r="F107" s="149">
        <v>2</v>
      </c>
      <c r="G107" s="307"/>
      <c r="H107" s="196" t="str">
        <f t="shared" si="36"/>
        <v>_03 =</v>
      </c>
      <c r="I107" s="197">
        <f t="shared" si="43"/>
        <v>286.5</v>
      </c>
      <c r="J107" s="196" t="str">
        <f t="shared" si="37"/>
        <v>None</v>
      </c>
      <c r="K107" s="197" t="str">
        <f t="shared" si="44"/>
        <v>None</v>
      </c>
      <c r="L107" s="196" t="str">
        <f t="shared" si="38"/>
        <v>_01 =</v>
      </c>
      <c r="M107" s="198">
        <f t="shared" si="45"/>
        <v>286.5</v>
      </c>
      <c r="O107" s="231">
        <v>9</v>
      </c>
      <c r="P107" s="228" t="str">
        <f t="shared" si="39"/>
        <v>_03 =</v>
      </c>
      <c r="Q107" s="222">
        <v>4</v>
      </c>
      <c r="R107" s="223">
        <v>-8</v>
      </c>
      <c r="S107" s="224">
        <f t="shared" si="40"/>
      </c>
      <c r="T107" s="222"/>
      <c r="U107" s="225"/>
      <c r="V107" s="224" t="str">
        <f t="shared" si="41"/>
        <v>_01 =</v>
      </c>
      <c r="W107" s="222">
        <v>4</v>
      </c>
      <c r="X107" s="293">
        <v>8</v>
      </c>
      <c r="Z107" s="314">
        <v>301.5</v>
      </c>
      <c r="AA107" s="295" t="s">
        <v>213</v>
      </c>
      <c r="AB107" s="313"/>
      <c r="AC107">
        <v>2</v>
      </c>
    </row>
    <row r="108" spans="8:29" ht="13.5" thickTop="1">
      <c r="H108" s="135" t="s">
        <v>186</v>
      </c>
      <c r="I108" s="135"/>
      <c r="J108" s="131"/>
      <c r="K108" s="135"/>
      <c r="L108" s="131"/>
      <c r="M108" s="135"/>
      <c r="P108" s="135" t="s">
        <v>190</v>
      </c>
      <c r="Z108" s="315">
        <v>305.5</v>
      </c>
      <c r="AA108" s="295">
        <v>16</v>
      </c>
      <c r="AB108" s="313">
        <v>3</v>
      </c>
      <c r="AC108">
        <v>1</v>
      </c>
    </row>
    <row r="109" spans="8:29" ht="12.75">
      <c r="H109" s="135" t="s">
        <v>187</v>
      </c>
      <c r="I109" s="135"/>
      <c r="J109" s="131"/>
      <c r="K109" s="135"/>
      <c r="L109" s="131"/>
      <c r="M109" s="135"/>
      <c r="P109" s="135" t="s">
        <v>191</v>
      </c>
      <c r="Z109" s="312">
        <v>321</v>
      </c>
      <c r="AA109" s="308">
        <v>17</v>
      </c>
      <c r="AB109" s="313">
        <v>3</v>
      </c>
      <c r="AC109">
        <v>3</v>
      </c>
    </row>
    <row r="110" spans="8:28" ht="13.5" thickBot="1">
      <c r="H110" s="131"/>
      <c r="I110" s="135"/>
      <c r="J110" s="131"/>
      <c r="K110" s="135"/>
      <c r="L110" s="131"/>
      <c r="M110" s="135"/>
      <c r="Z110" s="316"/>
      <c r="AA110" s="317" t="s">
        <v>214</v>
      </c>
      <c r="AB110" s="318">
        <f>SUM(AB85:AB109)</f>
        <v>66</v>
      </c>
    </row>
    <row r="111" spans="8:13" ht="12.75">
      <c r="H111" s="131"/>
      <c r="I111" s="135"/>
      <c r="J111" s="131"/>
      <c r="K111" s="135"/>
      <c r="L111" s="131"/>
      <c r="M111" s="135"/>
    </row>
    <row r="112" spans="8:13" ht="12.75">
      <c r="H112" s="131"/>
      <c r="I112" s="135"/>
      <c r="J112" s="131"/>
      <c r="K112" s="135"/>
      <c r="L112" s="131"/>
      <c r="M112" s="135"/>
    </row>
    <row r="113" spans="8:13" ht="12.75">
      <c r="H113" s="131"/>
      <c r="I113" s="135"/>
      <c r="J113" s="131"/>
      <c r="K113" s="135"/>
      <c r="L113" s="131"/>
      <c r="M113" s="135"/>
    </row>
    <row r="114" spans="8:13" ht="12.75">
      <c r="H114" s="131"/>
      <c r="I114" s="135"/>
      <c r="J114" s="131"/>
      <c r="K114" s="135"/>
      <c r="L114" s="131"/>
      <c r="M114" s="135"/>
    </row>
    <row r="115" spans="8:13" ht="12.75">
      <c r="H115" s="131"/>
      <c r="I115" s="135"/>
      <c r="J115" s="131"/>
      <c r="K115" s="135"/>
      <c r="L115" s="131"/>
      <c r="M115" s="135"/>
    </row>
    <row r="116" spans="8:13" ht="12.75">
      <c r="H116" s="131"/>
      <c r="I116" s="135"/>
      <c r="J116" s="131"/>
      <c r="K116" s="135"/>
      <c r="L116" s="131"/>
      <c r="M116" s="135"/>
    </row>
    <row r="117" spans="8:13" ht="12.75">
      <c r="H117" s="131"/>
      <c r="I117" s="135"/>
      <c r="J117" s="131"/>
      <c r="K117" s="135"/>
      <c r="L117" s="131"/>
      <c r="M117" s="135"/>
    </row>
    <row r="118" spans="8:13" ht="12.75">
      <c r="H118" s="131"/>
      <c r="I118" s="135"/>
      <c r="J118" s="131"/>
      <c r="K118" s="135"/>
      <c r="L118" s="131"/>
      <c r="M118" s="135"/>
    </row>
    <row r="119" spans="8:13" ht="12.75">
      <c r="H119" s="131"/>
      <c r="I119" s="135"/>
      <c r="J119" s="131"/>
      <c r="K119" s="135"/>
      <c r="L119" s="131"/>
      <c r="M119" s="135"/>
    </row>
    <row r="120" spans="8:13" ht="12.75">
      <c r="H120" s="131"/>
      <c r="I120" s="135"/>
      <c r="J120" s="131"/>
      <c r="K120" s="135"/>
      <c r="L120" s="131"/>
      <c r="M120" s="135"/>
    </row>
    <row r="121" spans="8:13" ht="12.75">
      <c r="H121" s="131"/>
      <c r="I121" s="135"/>
      <c r="J121" s="131"/>
      <c r="K121" s="135"/>
      <c r="L121" s="131"/>
      <c r="M121" s="135"/>
    </row>
    <row r="122" spans="8:13" ht="12.75">
      <c r="H122" s="131"/>
      <c r="I122" s="135"/>
      <c r="J122" s="131"/>
      <c r="K122" s="135"/>
      <c r="L122" s="131"/>
      <c r="M122" s="135"/>
    </row>
    <row r="123" spans="8:13" ht="12.75">
      <c r="H123" s="131"/>
      <c r="I123" s="135"/>
      <c r="J123" s="131"/>
      <c r="K123" s="135"/>
      <c r="L123" s="131"/>
      <c r="M123" s="135"/>
    </row>
    <row r="124" spans="8:13" ht="12.75">
      <c r="H124" s="131"/>
      <c r="I124" s="135"/>
      <c r="J124" s="131"/>
      <c r="K124" s="135"/>
      <c r="L124" s="131"/>
      <c r="M124" s="135"/>
    </row>
    <row r="125" spans="8:13" ht="12.75">
      <c r="H125" s="131"/>
      <c r="I125" s="135"/>
      <c r="J125" s="131"/>
      <c r="K125" s="135"/>
      <c r="L125" s="131"/>
      <c r="M125" s="135"/>
    </row>
    <row r="126" spans="8:13" ht="12.75">
      <c r="H126" s="131"/>
      <c r="I126" s="135"/>
      <c r="J126" s="131"/>
      <c r="K126" s="135"/>
      <c r="L126" s="131"/>
      <c r="M126" s="135"/>
    </row>
    <row r="127" spans="8:13" ht="12.75">
      <c r="H127" s="131"/>
      <c r="I127" s="135"/>
      <c r="J127" s="131"/>
      <c r="K127" s="135"/>
      <c r="L127" s="131"/>
      <c r="M127" s="135"/>
    </row>
  </sheetData>
  <printOptions/>
  <pageMargins left="0.75" right="0.75" top="1" bottom="1" header="0.5" footer="0.5"/>
  <pageSetup fitToHeight="2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Marko Mikuz</cp:lastModifiedBy>
  <cp:lastPrinted>2004-05-19T10:42:25Z</cp:lastPrinted>
  <dcterms:created xsi:type="dcterms:W3CDTF">2003-05-22T13:13:57Z</dcterms:created>
  <dcterms:modified xsi:type="dcterms:W3CDTF">2004-05-27T12:03:40Z</dcterms:modified>
  <cp:category/>
  <cp:version/>
  <cp:contentType/>
  <cp:contentStatus/>
</cp:coreProperties>
</file>